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Shared Documents/06_Settlement Conference/Settlement Proposal/To OEB/"/>
    </mc:Choice>
  </mc:AlternateContent>
  <xr:revisionPtr revIDLastSave="9" documentId="8_{C975D48F-B6A1-4B41-BC61-E4807DF66663}" xr6:coauthVersionLast="47" xr6:coauthVersionMax="47" xr10:uidLastSave="{E8D71F21-2E23-4F98-A96E-9AA6E934A047}"/>
  <bookViews>
    <workbookView xWindow="-120" yWindow="-120" windowWidth="29040" windowHeight="15720" tabRatio="841" firstSheet="6" activeTab="12" xr2:uid="{80C6F79D-A32D-452B-B37A-B18698BD6FDB}"/>
  </bookViews>
  <sheets>
    <sheet name="1. Info" sheetId="47" r:id="rId1"/>
    <sheet name="2. Table of Contents" sheetId="48" r:id="rId2"/>
    <sheet name="3. RRR Data 2027" sheetId="27" r:id="rId3"/>
    <sheet name="3. RRR Data 2028" sheetId="28" r:id="rId4"/>
    <sheet name="3. RRR Data 2029" sheetId="29" r:id="rId5"/>
    <sheet name="3. RRR Data 2030" sheetId="30" r:id="rId6"/>
    <sheet name="3. RRR Data 2031" sheetId="31" r:id="rId7"/>
    <sheet name="4. UTRs &amp; Sub-Transmission" sheetId="22" r:id="rId8"/>
    <sheet name="7. Forecast Wholesale 2026" sheetId="23" r:id="rId9"/>
    <sheet name="7. Forecast Wholesale 2027" sheetId="24" r:id="rId10"/>
    <sheet name="8. RTSR Rates to Forecast 2027" sheetId="26" r:id="rId11"/>
    <sheet name="7. Forecast Wholesale 2028" sheetId="32" r:id="rId12"/>
    <sheet name="8. RTSR Rates to Forecast 2028" sheetId="36" r:id="rId13"/>
    <sheet name="7. Forecast Wholesale 2029" sheetId="33" r:id="rId14"/>
    <sheet name="8. RTSR Rates to Forecast 2029" sheetId="37" r:id="rId15"/>
    <sheet name="7. Forecast Wholesale 2030" sheetId="34" r:id="rId16"/>
    <sheet name="8. RTSR Rates to Forecast 2030" sheetId="38" r:id="rId17"/>
    <sheet name="7. Forecast Wholesale 2031" sheetId="35" r:id="rId18"/>
    <sheet name="8. RTSR Rates to Forecast 2031" sheetId="39" r:id="rId19"/>
    <sheet name="Forecast RTSRs" sheetId="40" r:id="rId20"/>
    <sheet name="LV Charges" sheetId="50" r:id="rId21"/>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Elexicon_SA">#REF!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36" l="1"/>
  <c r="D30" i="31"/>
  <c r="D29" i="31"/>
  <c r="D26" i="31"/>
  <c r="D25" i="31"/>
  <c r="D30" i="30"/>
  <c r="D29" i="30"/>
  <c r="D26" i="30"/>
  <c r="D25" i="30"/>
  <c r="D30" i="29"/>
  <c r="D29" i="29"/>
  <c r="D26" i="29"/>
  <c r="D25" i="29"/>
  <c r="D30" i="28"/>
  <c r="D29" i="28"/>
  <c r="D26" i="28"/>
  <c r="D25" i="28"/>
  <c r="D63" i="26"/>
  <c r="D62" i="26"/>
  <c r="D61" i="26"/>
  <c r="D60" i="26"/>
  <c r="D59" i="26"/>
  <c r="D58" i="26"/>
  <c r="D57" i="26"/>
  <c r="D56" i="26"/>
  <c r="D55" i="26"/>
  <c r="D53" i="26"/>
  <c r="D52" i="26"/>
  <c r="D51" i="26"/>
  <c r="D50" i="26"/>
  <c r="D49" i="26"/>
  <c r="D48" i="26"/>
  <c r="D46" i="26"/>
  <c r="D45" i="26"/>
  <c r="D44" i="26"/>
  <c r="D43" i="26"/>
  <c r="D34" i="26"/>
  <c r="D33" i="26"/>
  <c r="D37" i="26"/>
  <c r="D36" i="26"/>
  <c r="D35" i="26"/>
  <c r="D32" i="26"/>
  <c r="D31" i="26"/>
  <c r="D30" i="26"/>
  <c r="D29" i="26"/>
  <c r="D27" i="26"/>
  <c r="D26" i="26"/>
  <c r="D25" i="26"/>
  <c r="D24" i="26"/>
  <c r="D22" i="26"/>
  <c r="D20" i="26"/>
  <c r="D19" i="26"/>
  <c r="D18" i="26"/>
  <c r="D17" i="26"/>
  <c r="E30" i="31"/>
  <c r="E30" i="30"/>
  <c r="E30" i="29"/>
  <c r="M39" i="22" l="1"/>
  <c r="B59" i="50"/>
  <c r="C50" i="50"/>
  <c r="C49" i="50"/>
  <c r="B49" i="50"/>
  <c r="B60" i="50" s="1"/>
  <c r="C48" i="50"/>
  <c r="B48" i="50"/>
  <c r="C47" i="50"/>
  <c r="C46" i="50"/>
  <c r="C45" i="50"/>
  <c r="C44" i="50"/>
  <c r="C43" i="50"/>
  <c r="B43" i="50"/>
  <c r="B54" i="50" s="1"/>
  <c r="C42" i="50"/>
  <c r="C38" i="50"/>
  <c r="B38" i="50"/>
  <c r="B37" i="50"/>
  <c r="C34" i="50"/>
  <c r="C33" i="50"/>
  <c r="C32" i="50"/>
  <c r="B32" i="50"/>
  <c r="C31" i="50"/>
  <c r="B31" i="50"/>
  <c r="B42" i="50" s="1"/>
  <c r="B53" i="50" s="1"/>
  <c r="B28" i="50"/>
  <c r="C27" i="50"/>
  <c r="C39" i="50" s="1"/>
  <c r="B27" i="50"/>
  <c r="B39" i="50" s="1"/>
  <c r="B50" i="50" s="1"/>
  <c r="B61" i="50" s="1"/>
  <c r="C26" i="50"/>
  <c r="B26" i="50"/>
  <c r="C25" i="50"/>
  <c r="C37" i="50" s="1"/>
  <c r="B25" i="50"/>
  <c r="C24" i="50"/>
  <c r="C36" i="50" s="1"/>
  <c r="B24" i="50"/>
  <c r="B36" i="50" s="1"/>
  <c r="B47" i="50" s="1"/>
  <c r="B58" i="50" s="1"/>
  <c r="C23" i="50"/>
  <c r="C35" i="50" s="1"/>
  <c r="B23" i="50"/>
  <c r="B35" i="50" s="1"/>
  <c r="B46" i="50" s="1"/>
  <c r="B57" i="50" s="1"/>
  <c r="C22" i="50"/>
  <c r="B22" i="50"/>
  <c r="B34" i="50" s="1"/>
  <c r="B45" i="50" s="1"/>
  <c r="B56" i="50" s="1"/>
  <c r="C21" i="50"/>
  <c r="B21" i="50"/>
  <c r="B33" i="50" s="1"/>
  <c r="B44" i="50" s="1"/>
  <c r="B55" i="50" s="1"/>
  <c r="C20" i="50"/>
  <c r="B20" i="50"/>
  <c r="C19" i="50"/>
  <c r="B19" i="50"/>
  <c r="F18" i="50"/>
  <c r="I12" i="50"/>
  <c r="G11" i="50"/>
  <c r="I8" i="50"/>
  <c r="AA43" i="22"/>
  <c r="AA30" i="22"/>
  <c r="AA41" i="22"/>
  <c r="AA39" i="22"/>
  <c r="AA37" i="22"/>
  <c r="Y41" i="22"/>
  <c r="X41" i="22"/>
  <c r="W41" i="22"/>
  <c r="V41" i="22"/>
  <c r="Y39" i="22"/>
  <c r="X39" i="22"/>
  <c r="W39" i="22"/>
  <c r="V39" i="22"/>
  <c r="W37" i="22"/>
  <c r="X37" i="22"/>
  <c r="Y37" i="22"/>
  <c r="V37" i="22"/>
  <c r="Y22" i="22" l="1"/>
  <c r="V29" i="22" l="1"/>
  <c r="Y30" i="22"/>
  <c r="W30" i="22"/>
  <c r="V30" i="22"/>
  <c r="Y29" i="22"/>
  <c r="X29" i="22"/>
  <c r="X30" i="22" s="1"/>
  <c r="W29" i="22"/>
  <c r="U29" i="22"/>
  <c r="E60" i="26" l="1"/>
  <c r="E49" i="26"/>
  <c r="E34" i="26"/>
  <c r="G34" i="31"/>
  <c r="G22" i="31"/>
  <c r="G20" i="31"/>
  <c r="G18" i="31"/>
  <c r="G34" i="30"/>
  <c r="G22" i="30"/>
  <c r="G20" i="30"/>
  <c r="G18" i="30"/>
  <c r="G34" i="29"/>
  <c r="G22" i="29"/>
  <c r="G20" i="29"/>
  <c r="G18" i="29"/>
  <c r="G34" i="28"/>
  <c r="G22" i="28"/>
  <c r="G20" i="28"/>
  <c r="G18" i="28"/>
  <c r="P111" i="24"/>
  <c r="L26" i="26"/>
  <c r="G20" i="40"/>
  <c r="H20" i="40" s="1"/>
  <c r="I20" i="40" s="1"/>
  <c r="J20" i="40" s="1"/>
  <c r="M35" i="22"/>
  <c r="L41" i="22" l="1"/>
  <c r="C59" i="26"/>
  <c r="C60" i="26"/>
  <c r="B59" i="26"/>
  <c r="B60" i="26"/>
  <c r="A60" i="26"/>
  <c r="A59" i="26"/>
  <c r="C33" i="26"/>
  <c r="C34" i="26"/>
  <c r="B33" i="26"/>
  <c r="B34" i="26"/>
  <c r="A34" i="26"/>
  <c r="A33" i="26"/>
  <c r="D23" i="40" l="1"/>
  <c r="D24" i="40"/>
  <c r="D25" i="40"/>
  <c r="D29" i="40"/>
  <c r="D30" i="40"/>
  <c r="D31" i="40"/>
  <c r="D21" i="40"/>
  <c r="D9" i="40"/>
  <c r="D10" i="40"/>
  <c r="D14" i="40"/>
  <c r="D15" i="40"/>
  <c r="D16" i="40"/>
  <c r="D8" i="40"/>
  <c r="D6" i="40"/>
  <c r="G5" i="40" l="1"/>
  <c r="H5" i="40" s="1"/>
  <c r="I5" i="40" s="1"/>
  <c r="J5" i="40" s="1"/>
  <c r="B7" i="40"/>
  <c r="C7" i="40"/>
  <c r="B8" i="40"/>
  <c r="C8" i="40"/>
  <c r="B9" i="40"/>
  <c r="C9" i="40"/>
  <c r="B10" i="40"/>
  <c r="C10" i="40"/>
  <c r="B11" i="40"/>
  <c r="C11" i="40"/>
  <c r="B12" i="40"/>
  <c r="C12" i="40"/>
  <c r="B13" i="40"/>
  <c r="C13" i="40"/>
  <c r="B14" i="40"/>
  <c r="C14" i="40"/>
  <c r="B15" i="40"/>
  <c r="C15" i="40"/>
  <c r="B16" i="40"/>
  <c r="C16" i="40"/>
  <c r="B21" i="40"/>
  <c r="C21" i="40"/>
  <c r="B22" i="40"/>
  <c r="C22" i="40"/>
  <c r="B23" i="40"/>
  <c r="C23" i="40"/>
  <c r="B24" i="40"/>
  <c r="C24" i="40"/>
  <c r="B25" i="40"/>
  <c r="C25" i="40"/>
  <c r="B26" i="40"/>
  <c r="C26" i="40"/>
  <c r="B27" i="40"/>
  <c r="C27" i="40"/>
  <c r="B28" i="40"/>
  <c r="C28" i="40"/>
  <c r="B29" i="40"/>
  <c r="C29" i="40"/>
  <c r="B30" i="40"/>
  <c r="C30" i="40"/>
  <c r="B31" i="40"/>
  <c r="C31" i="40"/>
  <c r="C6" i="40"/>
  <c r="B6" i="40"/>
  <c r="F41" i="39"/>
  <c r="F35" i="39"/>
  <c r="F34" i="39"/>
  <c r="F33" i="39"/>
  <c r="F25" i="39"/>
  <c r="F19" i="39"/>
  <c r="F18" i="39"/>
  <c r="F17" i="39"/>
  <c r="F41" i="38"/>
  <c r="F35" i="38"/>
  <c r="F34" i="38"/>
  <c r="F33" i="38"/>
  <c r="F25" i="38"/>
  <c r="F19" i="38"/>
  <c r="F18" i="38"/>
  <c r="F17" i="38"/>
  <c r="F41" i="37"/>
  <c r="F35" i="37"/>
  <c r="F34" i="37"/>
  <c r="F33" i="37"/>
  <c r="F25" i="37"/>
  <c r="F19" i="37"/>
  <c r="F18" i="37"/>
  <c r="F17" i="37"/>
  <c r="F41" i="36"/>
  <c r="F35" i="36"/>
  <c r="F34" i="36"/>
  <c r="F33" i="36"/>
  <c r="F25" i="36"/>
  <c r="F19" i="36"/>
  <c r="F18" i="36"/>
  <c r="F17" i="36"/>
  <c r="D11" i="40"/>
  <c r="F34" i="26"/>
  <c r="D26" i="40"/>
  <c r="F60" i="26"/>
  <c r="L23" i="26"/>
  <c r="L53" i="26"/>
  <c r="L52" i="26"/>
  <c r="L50" i="26"/>
  <c r="L48" i="26"/>
  <c r="L47" i="26"/>
  <c r="L46" i="26"/>
  <c r="L20" i="26"/>
  <c r="L21" i="26"/>
  <c r="L22" i="26"/>
  <c r="L24" i="26"/>
  <c r="L27" i="26"/>
  <c r="F43" i="26"/>
  <c r="F44" i="26"/>
  <c r="M44" i="26" s="1"/>
  <c r="F45" i="26"/>
  <c r="F49" i="26"/>
  <c r="F51" i="26"/>
  <c r="F17" i="26"/>
  <c r="F18" i="26"/>
  <c r="M18" i="26" s="1"/>
  <c r="F19" i="26"/>
  <c r="F23" i="26"/>
  <c r="F25" i="26"/>
  <c r="I20" i="35"/>
  <c r="I21" i="35" s="1"/>
  <c r="I22" i="35" s="1"/>
  <c r="I23" i="35" s="1"/>
  <c r="I24" i="35" s="1"/>
  <c r="I25" i="35" s="1"/>
  <c r="I26" i="35" s="1"/>
  <c r="I27" i="35" s="1"/>
  <c r="I28" i="35" s="1"/>
  <c r="I29" i="35" s="1"/>
  <c r="I30" i="35" s="1"/>
  <c r="I31" i="35" s="1"/>
  <c r="I20" i="34"/>
  <c r="I21" i="34" s="1"/>
  <c r="I22" i="34" s="1"/>
  <c r="I23" i="34" s="1"/>
  <c r="I24" i="34" s="1"/>
  <c r="I25" i="34" s="1"/>
  <c r="I26" i="34" s="1"/>
  <c r="I27" i="34" s="1"/>
  <c r="I28" i="34" s="1"/>
  <c r="I29" i="34" s="1"/>
  <c r="I30" i="34" s="1"/>
  <c r="I31" i="34" s="1"/>
  <c r="I20" i="33"/>
  <c r="I21" i="33" s="1"/>
  <c r="I22" i="33" s="1"/>
  <c r="I23" i="33" s="1"/>
  <c r="I24" i="33" s="1"/>
  <c r="I25" i="33" s="1"/>
  <c r="I26" i="33" s="1"/>
  <c r="I27" i="33" s="1"/>
  <c r="I28" i="33" s="1"/>
  <c r="I29" i="33" s="1"/>
  <c r="I30" i="33" s="1"/>
  <c r="I31" i="33" s="1"/>
  <c r="L90" i="35"/>
  <c r="M90" i="35" s="1"/>
  <c r="B73" i="35"/>
  <c r="D71" i="35"/>
  <c r="E71" i="35" s="1"/>
  <c r="B54" i="35"/>
  <c r="P111" i="34"/>
  <c r="H90" i="34"/>
  <c r="I90" i="34" s="1"/>
  <c r="D90" i="34"/>
  <c r="E90" i="34" s="1"/>
  <c r="B73" i="34"/>
  <c r="L71" i="34"/>
  <c r="M71" i="34" s="1"/>
  <c r="H71" i="34"/>
  <c r="I71" i="34" s="1"/>
  <c r="D71" i="34"/>
  <c r="E71" i="34" s="1"/>
  <c r="B54" i="34"/>
  <c r="P111" i="33"/>
  <c r="L90" i="33"/>
  <c r="M90" i="33" s="1"/>
  <c r="D90" i="33"/>
  <c r="E90" i="33" s="1"/>
  <c r="B73" i="33"/>
  <c r="L71" i="33"/>
  <c r="M71" i="33" s="1"/>
  <c r="H71" i="33"/>
  <c r="I71" i="33" s="1"/>
  <c r="D71" i="33"/>
  <c r="E71" i="33" s="1"/>
  <c r="B54" i="33"/>
  <c r="P111" i="32"/>
  <c r="L90" i="32"/>
  <c r="M90" i="32" s="1"/>
  <c r="H90" i="32"/>
  <c r="I90" i="32" s="1"/>
  <c r="B73" i="32"/>
  <c r="L71" i="32"/>
  <c r="M71" i="32" s="1"/>
  <c r="B54" i="32"/>
  <c r="M20" i="24"/>
  <c r="M21" i="24" s="1"/>
  <c r="M22" i="24" s="1"/>
  <c r="M23" i="24" s="1"/>
  <c r="M24" i="24" s="1"/>
  <c r="M25" i="24" s="1"/>
  <c r="M26" i="24" s="1"/>
  <c r="M27" i="24" s="1"/>
  <c r="M28" i="24" s="1"/>
  <c r="M29" i="24" s="1"/>
  <c r="M30" i="24" s="1"/>
  <c r="M31" i="24" s="1"/>
  <c r="I20" i="24"/>
  <c r="I21" i="24" s="1"/>
  <c r="I22" i="24" s="1"/>
  <c r="I23" i="24" s="1"/>
  <c r="I24" i="24" s="1"/>
  <c r="I25" i="24" s="1"/>
  <c r="I26" i="24" s="1"/>
  <c r="I27" i="24" s="1"/>
  <c r="I28" i="24" s="1"/>
  <c r="I29" i="24" s="1"/>
  <c r="I30" i="24" s="1"/>
  <c r="I31" i="24" s="1"/>
  <c r="AA28" i="22"/>
  <c r="W28" i="22"/>
  <c r="X28" i="22"/>
  <c r="Y28" i="22"/>
  <c r="V28" i="22"/>
  <c r="M26" i="22"/>
  <c r="N26" i="22" s="1"/>
  <c r="N24" i="22"/>
  <c r="O24" i="22" s="1"/>
  <c r="P24" i="22" s="1"/>
  <c r="Q24" i="22" s="1"/>
  <c r="M24" i="22"/>
  <c r="M22" i="22"/>
  <c r="N22" i="22" s="1"/>
  <c r="AA27" i="22"/>
  <c r="AA25" i="22"/>
  <c r="AA23" i="22"/>
  <c r="Y27" i="22"/>
  <c r="X27" i="22"/>
  <c r="W27" i="22"/>
  <c r="V27" i="22"/>
  <c r="Y25" i="22"/>
  <c r="X25" i="22"/>
  <c r="W25" i="22"/>
  <c r="V25" i="22"/>
  <c r="Y26" i="22"/>
  <c r="X26" i="22"/>
  <c r="W26" i="22"/>
  <c r="V26" i="22"/>
  <c r="U26" i="22"/>
  <c r="Y24" i="22"/>
  <c r="X24" i="22"/>
  <c r="W24" i="22"/>
  <c r="V24" i="22"/>
  <c r="U24" i="22"/>
  <c r="Y23" i="22"/>
  <c r="X22" i="22"/>
  <c r="W22" i="22"/>
  <c r="X23" i="22" s="1"/>
  <c r="V22" i="22"/>
  <c r="V23" i="22" s="1"/>
  <c r="U22" i="22"/>
  <c r="O26" i="22" l="1"/>
  <c r="M20" i="32"/>
  <c r="M21" i="32" s="1"/>
  <c r="M22" i="32" s="1"/>
  <c r="M23" i="32" s="1"/>
  <c r="M24" i="32" s="1"/>
  <c r="M25" i="32" s="1"/>
  <c r="M26" i="32" s="1"/>
  <c r="M27" i="32" s="1"/>
  <c r="M28" i="32" s="1"/>
  <c r="M29" i="32" s="1"/>
  <c r="M30" i="32" s="1"/>
  <c r="M31" i="32" s="1"/>
  <c r="I20" i="32"/>
  <c r="I21" i="32" s="1"/>
  <c r="I22" i="32" s="1"/>
  <c r="I23" i="32" s="1"/>
  <c r="I24" i="32" s="1"/>
  <c r="I25" i="32" s="1"/>
  <c r="I26" i="32" s="1"/>
  <c r="I27" i="32" s="1"/>
  <c r="I28" i="32" s="1"/>
  <c r="I29" i="32" s="1"/>
  <c r="I30" i="32" s="1"/>
  <c r="I31" i="32" s="1"/>
  <c r="M23" i="26"/>
  <c r="L49" i="26"/>
  <c r="G34" i="26"/>
  <c r="D12" i="40"/>
  <c r="G60" i="26"/>
  <c r="D27" i="40"/>
  <c r="O22" i="22"/>
  <c r="E20" i="32"/>
  <c r="E21" i="32" s="1"/>
  <c r="E22" i="32" s="1"/>
  <c r="E23" i="32" s="1"/>
  <c r="E24" i="32" s="1"/>
  <c r="E25" i="32" s="1"/>
  <c r="E26" i="32" s="1"/>
  <c r="E27" i="32" s="1"/>
  <c r="E28" i="32" s="1"/>
  <c r="E29" i="32" s="1"/>
  <c r="E30" i="32" s="1"/>
  <c r="E31" i="32" s="1"/>
  <c r="E20" i="24"/>
  <c r="E21" i="24" s="1"/>
  <c r="F90" i="32"/>
  <c r="J90" i="35"/>
  <c r="N90" i="33"/>
  <c r="N71" i="35"/>
  <c r="M49" i="26"/>
  <c r="F90" i="35"/>
  <c r="F71" i="32"/>
  <c r="F71" i="34"/>
  <c r="H71" i="35"/>
  <c r="I71" i="35" s="1"/>
  <c r="N90" i="35"/>
  <c r="D90" i="35"/>
  <c r="E90" i="35" s="1"/>
  <c r="L71" i="35"/>
  <c r="M71" i="35" s="1"/>
  <c r="H90" i="35"/>
  <c r="I90" i="35" s="1"/>
  <c r="F71" i="35"/>
  <c r="N71" i="32"/>
  <c r="J71" i="32"/>
  <c r="N71" i="33"/>
  <c r="J71" i="34"/>
  <c r="N71" i="34"/>
  <c r="F90" i="34"/>
  <c r="F90" i="33"/>
  <c r="H90" i="33"/>
  <c r="I90" i="33" s="1"/>
  <c r="F71" i="33"/>
  <c r="L90" i="34"/>
  <c r="M90" i="34" s="1"/>
  <c r="N90" i="34"/>
  <c r="D71" i="32"/>
  <c r="E71" i="32" s="1"/>
  <c r="H71" i="32"/>
  <c r="I71" i="32" s="1"/>
  <c r="J90" i="32"/>
  <c r="D90" i="32"/>
  <c r="E90" i="32" s="1"/>
  <c r="N90" i="32"/>
  <c r="W23" i="22"/>
  <c r="P26" i="22" l="1"/>
  <c r="M20" i="33"/>
  <c r="M21" i="33" s="1"/>
  <c r="M22" i="33" s="1"/>
  <c r="M23" i="33" s="1"/>
  <c r="M24" i="33" s="1"/>
  <c r="M25" i="33" s="1"/>
  <c r="M26" i="33" s="1"/>
  <c r="M27" i="33" s="1"/>
  <c r="M28" i="33" s="1"/>
  <c r="M29" i="33" s="1"/>
  <c r="M30" i="33" s="1"/>
  <c r="M31" i="33" s="1"/>
  <c r="P22" i="22"/>
  <c r="E20" i="33"/>
  <c r="E21" i="33" s="1"/>
  <c r="E22" i="33" s="1"/>
  <c r="E23" i="33" s="1"/>
  <c r="E24" i="33" s="1"/>
  <c r="E25" i="33" s="1"/>
  <c r="E26" i="33" s="1"/>
  <c r="E27" i="33" s="1"/>
  <c r="E28" i="33" s="1"/>
  <c r="E29" i="33" s="1"/>
  <c r="E30" i="33" s="1"/>
  <c r="E31" i="33" s="1"/>
  <c r="P90" i="35"/>
  <c r="P71" i="32"/>
  <c r="J71" i="35"/>
  <c r="P71" i="35"/>
  <c r="P71" i="34"/>
  <c r="J90" i="33"/>
  <c r="P90" i="33"/>
  <c r="J90" i="34"/>
  <c r="P90" i="34"/>
  <c r="J71" i="33"/>
  <c r="P71" i="33"/>
  <c r="P90" i="32"/>
  <c r="Q26" i="22" l="1"/>
  <c r="M20" i="35" s="1"/>
  <c r="M21" i="35" s="1"/>
  <c r="M22" i="35" s="1"/>
  <c r="M23" i="35" s="1"/>
  <c r="M24" i="35" s="1"/>
  <c r="M25" i="35" s="1"/>
  <c r="M26" i="35" s="1"/>
  <c r="M27" i="35" s="1"/>
  <c r="M28" i="35" s="1"/>
  <c r="M29" i="35" s="1"/>
  <c r="M30" i="35" s="1"/>
  <c r="M31" i="35" s="1"/>
  <c r="M20" i="34"/>
  <c r="M21" i="34" s="1"/>
  <c r="M22" i="34" s="1"/>
  <c r="M23" i="34" s="1"/>
  <c r="M24" i="34" s="1"/>
  <c r="M25" i="34" s="1"/>
  <c r="M26" i="34" s="1"/>
  <c r="M27" i="34" s="1"/>
  <c r="M28" i="34" s="1"/>
  <c r="M29" i="34" s="1"/>
  <c r="M30" i="34" s="1"/>
  <c r="M31" i="34" s="1"/>
  <c r="E20" i="34"/>
  <c r="E21" i="34" s="1"/>
  <c r="E22" i="34" s="1"/>
  <c r="E23" i="34" s="1"/>
  <c r="E24" i="34" s="1"/>
  <c r="E25" i="34" s="1"/>
  <c r="E26" i="34" s="1"/>
  <c r="E27" i="34" s="1"/>
  <c r="E28" i="34" s="1"/>
  <c r="E29" i="34" s="1"/>
  <c r="E30" i="34" s="1"/>
  <c r="E31" i="34" s="1"/>
  <c r="Q22" i="22"/>
  <c r="E20" i="35" s="1"/>
  <c r="E21" i="35" s="1"/>
  <c r="E22" i="35" s="1"/>
  <c r="E23" i="35" s="1"/>
  <c r="E24" i="35" s="1"/>
  <c r="E25" i="35" s="1"/>
  <c r="E26" i="35" s="1"/>
  <c r="E27" i="35" s="1"/>
  <c r="E28" i="35" s="1"/>
  <c r="E29" i="35" s="1"/>
  <c r="E30" i="35" s="1"/>
  <c r="E31" i="35" s="1"/>
  <c r="N18" i="22" l="1"/>
  <c r="O18" i="22" s="1"/>
  <c r="P18" i="22" s="1"/>
  <c r="Q18" i="22" s="1"/>
  <c r="E30" i="28" l="1"/>
  <c r="E30" i="27"/>
  <c r="D30" i="27"/>
  <c r="D29" i="27"/>
  <c r="D23" i="26" s="1"/>
  <c r="D26" i="27"/>
  <c r="D47" i="26" s="1"/>
  <c r="D25" i="27"/>
  <c r="D21" i="26" s="1"/>
  <c r="M19" i="23"/>
  <c r="M20" i="23" s="1"/>
  <c r="M21" i="23" s="1"/>
  <c r="M22" i="23" s="1"/>
  <c r="M23" i="23" s="1"/>
  <c r="M24" i="23" s="1"/>
  <c r="M25" i="23" s="1"/>
  <c r="M26" i="23" s="1"/>
  <c r="M27" i="23" s="1"/>
  <c r="M28" i="23" s="1"/>
  <c r="M29" i="23" s="1"/>
  <c r="M30" i="23" s="1"/>
  <c r="I19" i="23"/>
  <c r="I20" i="23" s="1"/>
  <c r="I21" i="23" s="1"/>
  <c r="I22" i="23" s="1"/>
  <c r="I23" i="23" s="1"/>
  <c r="I24" i="23" s="1"/>
  <c r="I25" i="23" s="1"/>
  <c r="I26" i="23" s="1"/>
  <c r="I27" i="23" s="1"/>
  <c r="I28" i="23" s="1"/>
  <c r="I29" i="23" s="1"/>
  <c r="I30" i="23" s="1"/>
  <c r="E19" i="23"/>
  <c r="E20" i="23" s="1"/>
  <c r="E21" i="23" s="1"/>
  <c r="E22" i="23" s="1"/>
  <c r="E23" i="23" s="1"/>
  <c r="E24" i="23" s="1"/>
  <c r="E25" i="23" s="1"/>
  <c r="E26" i="23" s="1"/>
  <c r="E27" i="23" s="1"/>
  <c r="E28" i="23" s="1"/>
  <c r="E29" i="23" s="1"/>
  <c r="E30" i="23" s="1"/>
  <c r="M37" i="22"/>
  <c r="B73" i="24"/>
  <c r="D71" i="24"/>
  <c r="E71" i="24" s="1"/>
  <c r="B54" i="24"/>
  <c r="E22" i="24"/>
  <c r="E23" i="24" s="1"/>
  <c r="E24" i="24" s="1"/>
  <c r="E25" i="24" s="1"/>
  <c r="E26" i="24" s="1"/>
  <c r="E27" i="24" s="1"/>
  <c r="E28" i="24" s="1"/>
  <c r="E29" i="24" s="1"/>
  <c r="E30" i="24" s="1"/>
  <c r="E31" i="24" s="1"/>
  <c r="P89" i="23"/>
  <c r="N89" i="23"/>
  <c r="L89" i="23"/>
  <c r="M89" i="23" s="1"/>
  <c r="J89" i="23"/>
  <c r="H89" i="23"/>
  <c r="I89" i="23" s="1"/>
  <c r="F89" i="23"/>
  <c r="D89" i="23"/>
  <c r="E89" i="23" s="1"/>
  <c r="P87" i="23"/>
  <c r="M87" i="23"/>
  <c r="I87" i="23"/>
  <c r="E87" i="23"/>
  <c r="P86" i="23"/>
  <c r="M86" i="23"/>
  <c r="I86" i="23"/>
  <c r="E86" i="23"/>
  <c r="P85" i="23"/>
  <c r="M85" i="23"/>
  <c r="I85" i="23"/>
  <c r="E85" i="23"/>
  <c r="P84" i="23"/>
  <c r="M84" i="23"/>
  <c r="I84" i="23"/>
  <c r="E84" i="23"/>
  <c r="P83" i="23"/>
  <c r="M83" i="23"/>
  <c r="I83" i="23"/>
  <c r="E83" i="23"/>
  <c r="P82" i="23"/>
  <c r="M82" i="23"/>
  <c r="I82" i="23"/>
  <c r="E82" i="23"/>
  <c r="P81" i="23"/>
  <c r="M81" i="23"/>
  <c r="I81" i="23"/>
  <c r="E81" i="23"/>
  <c r="P80" i="23"/>
  <c r="M80" i="23"/>
  <c r="I80" i="23"/>
  <c r="E80" i="23"/>
  <c r="P79" i="23"/>
  <c r="M79" i="23"/>
  <c r="I79" i="23"/>
  <c r="E79" i="23"/>
  <c r="P78" i="23"/>
  <c r="M78" i="23"/>
  <c r="I78" i="23"/>
  <c r="E78" i="23"/>
  <c r="P77" i="23"/>
  <c r="M77" i="23"/>
  <c r="I77" i="23"/>
  <c r="E77" i="23"/>
  <c r="P76" i="23"/>
  <c r="M76" i="23"/>
  <c r="I76" i="23"/>
  <c r="E76" i="23"/>
  <c r="N70" i="23"/>
  <c r="L70" i="23"/>
  <c r="M70" i="23" s="1"/>
  <c r="J70" i="23"/>
  <c r="H70" i="23"/>
  <c r="I70" i="23" s="1"/>
  <c r="F70" i="23"/>
  <c r="D70" i="23"/>
  <c r="E70" i="23" s="1"/>
  <c r="P68" i="23"/>
  <c r="M68" i="23"/>
  <c r="I68" i="23"/>
  <c r="E68" i="23"/>
  <c r="P67" i="23"/>
  <c r="M67" i="23"/>
  <c r="I67" i="23"/>
  <c r="E67" i="23"/>
  <c r="P66" i="23"/>
  <c r="M66" i="23"/>
  <c r="I66" i="23"/>
  <c r="E66" i="23"/>
  <c r="P65" i="23"/>
  <c r="M65" i="23"/>
  <c r="I65" i="23"/>
  <c r="E65" i="23"/>
  <c r="P64" i="23"/>
  <c r="M64" i="23"/>
  <c r="I64" i="23"/>
  <c r="E64" i="23"/>
  <c r="P63" i="23"/>
  <c r="M63" i="23"/>
  <c r="I63" i="23"/>
  <c r="E63" i="23"/>
  <c r="P62" i="23"/>
  <c r="M62" i="23"/>
  <c r="I62" i="23"/>
  <c r="E62" i="23"/>
  <c r="P61" i="23"/>
  <c r="M61" i="23"/>
  <c r="I61" i="23"/>
  <c r="E61" i="23"/>
  <c r="P60" i="23"/>
  <c r="M60" i="23"/>
  <c r="I60" i="23"/>
  <c r="E60" i="23"/>
  <c r="P59" i="23"/>
  <c r="M59" i="23"/>
  <c r="I59" i="23"/>
  <c r="E59" i="23"/>
  <c r="P58" i="23"/>
  <c r="M58" i="23"/>
  <c r="I58" i="23"/>
  <c r="E58" i="23"/>
  <c r="P57" i="23"/>
  <c r="P70" i="23" s="1"/>
  <c r="M57" i="23"/>
  <c r="I57" i="23"/>
  <c r="E57" i="23"/>
  <c r="E73" i="22"/>
  <c r="L71" i="22"/>
  <c r="I71" i="22"/>
  <c r="H71" i="22"/>
  <c r="E71" i="22"/>
  <c r="L59" i="22"/>
  <c r="L73" i="22" s="1"/>
  <c r="I59" i="22"/>
  <c r="I73" i="22" s="1"/>
  <c r="E59" i="22"/>
  <c r="L56" i="22"/>
  <c r="I56" i="22"/>
  <c r="H56" i="22"/>
  <c r="E56" i="22"/>
  <c r="L44" i="22"/>
  <c r="I44" i="22"/>
  <c r="E44" i="22"/>
  <c r="F30" i="26" l="1"/>
  <c r="M19" i="26" s="1"/>
  <c r="F35" i="26"/>
  <c r="M25" i="26" s="1"/>
  <c r="F56" i="26"/>
  <c r="M45" i="26" s="1"/>
  <c r="F29" i="26"/>
  <c r="M17" i="26" s="1"/>
  <c r="F61" i="26"/>
  <c r="M51" i="26" s="1"/>
  <c r="F55" i="26"/>
  <c r="M43" i="26" s="1"/>
  <c r="M38" i="23"/>
  <c r="M39" i="23" s="1"/>
  <c r="M40" i="23" s="1"/>
  <c r="M41" i="23" s="1"/>
  <c r="M42" i="23" s="1"/>
  <c r="M43" i="23" s="1"/>
  <c r="M44" i="23" s="1"/>
  <c r="M45" i="23" s="1"/>
  <c r="M46" i="23" s="1"/>
  <c r="M47" i="23" s="1"/>
  <c r="M48" i="23" s="1"/>
  <c r="M49" i="23" s="1"/>
  <c r="I38" i="23"/>
  <c r="I39" i="23" s="1"/>
  <c r="I40" i="23" s="1"/>
  <c r="I41" i="23" s="1"/>
  <c r="I42" i="23" s="1"/>
  <c r="I43" i="23" s="1"/>
  <c r="I44" i="23" s="1"/>
  <c r="I45" i="23" s="1"/>
  <c r="I46" i="23" s="1"/>
  <c r="I47" i="23" s="1"/>
  <c r="I48" i="23" s="1"/>
  <c r="I49" i="23" s="1"/>
  <c r="H71" i="24"/>
  <c r="I71" i="24" s="1"/>
  <c r="D90" i="24"/>
  <c r="E90" i="24" s="1"/>
  <c r="L71" i="24"/>
  <c r="M71" i="24" s="1"/>
  <c r="H90" i="24"/>
  <c r="I90" i="24" s="1"/>
  <c r="L90" i="24"/>
  <c r="M90" i="24" s="1"/>
  <c r="E38" i="23" l="1"/>
  <c r="E39" i="23" s="1"/>
  <c r="E40" i="23" s="1"/>
  <c r="E41" i="23" s="1"/>
  <c r="E42" i="23" s="1"/>
  <c r="E43" i="23" s="1"/>
  <c r="E44" i="23" s="1"/>
  <c r="E45" i="23" s="1"/>
  <c r="E46" i="23" s="1"/>
  <c r="E47" i="23" s="1"/>
  <c r="E48" i="23" s="1"/>
  <c r="E49" i="23" s="1"/>
  <c r="N35" i="22"/>
  <c r="E39" i="24"/>
  <c r="E40" i="24" s="1"/>
  <c r="E41" i="24" s="1"/>
  <c r="E42" i="24" s="1"/>
  <c r="E43" i="24" s="1"/>
  <c r="E44" i="24" s="1"/>
  <c r="E45" i="24" s="1"/>
  <c r="N37" i="22"/>
  <c r="I39" i="24"/>
  <c r="I40" i="24" s="1"/>
  <c r="I41" i="24" s="1"/>
  <c r="N39" i="22"/>
  <c r="M39" i="24"/>
  <c r="M40" i="24" s="1"/>
  <c r="M41" i="24" s="1"/>
  <c r="M42" i="24" s="1"/>
  <c r="M43" i="24" s="1"/>
  <c r="M41" i="22"/>
  <c r="O39" i="22" l="1"/>
  <c r="M39" i="32"/>
  <c r="M40" i="32" s="1"/>
  <c r="M41" i="32" s="1"/>
  <c r="M42" i="32" s="1"/>
  <c r="M43" i="32" s="1"/>
  <c r="M44" i="32" s="1"/>
  <c r="M45" i="32" s="1"/>
  <c r="M46" i="32" s="1"/>
  <c r="M47" i="32" s="1"/>
  <c r="M48" i="32" s="1"/>
  <c r="M49" i="32" s="1"/>
  <c r="M50" i="32" s="1"/>
  <c r="N41" i="22"/>
  <c r="O37" i="22"/>
  <c r="I39" i="32"/>
  <c r="I40" i="32" s="1"/>
  <c r="I41" i="32" s="1"/>
  <c r="I42" i="32" s="1"/>
  <c r="I43" i="32" s="1"/>
  <c r="I44" i="32" s="1"/>
  <c r="I45" i="32" s="1"/>
  <c r="I46" i="32" s="1"/>
  <c r="I47" i="32" s="1"/>
  <c r="I48" i="32" s="1"/>
  <c r="I49" i="32" s="1"/>
  <c r="I50" i="32" s="1"/>
  <c r="O35" i="22"/>
  <c r="E39" i="32"/>
  <c r="E40" i="32" s="1"/>
  <c r="E41" i="32" s="1"/>
  <c r="E42" i="32" s="1"/>
  <c r="E43" i="32" s="1"/>
  <c r="E44" i="32" s="1"/>
  <c r="E45" i="32" s="1"/>
  <c r="E46" i="32" s="1"/>
  <c r="E47" i="32" s="1"/>
  <c r="E48" i="32" s="1"/>
  <c r="E49" i="32" s="1"/>
  <c r="E50" i="32" s="1"/>
  <c r="M44" i="24"/>
  <c r="E46" i="24"/>
  <c r="I42" i="24"/>
  <c r="P35" i="22" l="1"/>
  <c r="E39" i="33"/>
  <c r="E40" i="33" s="1"/>
  <c r="E41" i="33" s="1"/>
  <c r="E42" i="33" s="1"/>
  <c r="E43" i="33" s="1"/>
  <c r="E44" i="33" s="1"/>
  <c r="E45" i="33" s="1"/>
  <c r="E46" i="33" s="1"/>
  <c r="E47" i="33" s="1"/>
  <c r="E48" i="33" s="1"/>
  <c r="E49" i="33" s="1"/>
  <c r="E50" i="33" s="1"/>
  <c r="P37" i="22"/>
  <c r="I39" i="33"/>
  <c r="I40" i="33" s="1"/>
  <c r="I41" i="33" s="1"/>
  <c r="I42" i="33" s="1"/>
  <c r="I43" i="33" s="1"/>
  <c r="I44" i="33" s="1"/>
  <c r="I45" i="33" s="1"/>
  <c r="I46" i="33" s="1"/>
  <c r="I47" i="33" s="1"/>
  <c r="I48" i="33" s="1"/>
  <c r="I49" i="33" s="1"/>
  <c r="I50" i="33" s="1"/>
  <c r="P39" i="22"/>
  <c r="O41" i="22"/>
  <c r="M39" i="33"/>
  <c r="M40" i="33" s="1"/>
  <c r="M41" i="33" s="1"/>
  <c r="M42" i="33" s="1"/>
  <c r="M43" i="33" s="1"/>
  <c r="M44" i="33" s="1"/>
  <c r="M45" i="33" s="1"/>
  <c r="M46" i="33" s="1"/>
  <c r="M47" i="33" s="1"/>
  <c r="M48" i="33" s="1"/>
  <c r="M49" i="33" s="1"/>
  <c r="M50" i="33" s="1"/>
  <c r="I43" i="24"/>
  <c r="M45" i="24"/>
  <c r="E47" i="24"/>
  <c r="Q39" i="22" l="1"/>
  <c r="P41" i="22"/>
  <c r="M39" i="34"/>
  <c r="M40" i="34" s="1"/>
  <c r="M41" i="34" s="1"/>
  <c r="M42" i="34" s="1"/>
  <c r="M43" i="34" s="1"/>
  <c r="M44" i="34" s="1"/>
  <c r="M45" i="34" s="1"/>
  <c r="M46" i="34" s="1"/>
  <c r="M47" i="34" s="1"/>
  <c r="M48" i="34" s="1"/>
  <c r="M49" i="34" s="1"/>
  <c r="M50" i="34" s="1"/>
  <c r="Q37" i="22"/>
  <c r="I39" i="35" s="1"/>
  <c r="I40" i="35" s="1"/>
  <c r="I41" i="35" s="1"/>
  <c r="I42" i="35" s="1"/>
  <c r="I43" i="35" s="1"/>
  <c r="I44" i="35" s="1"/>
  <c r="I45" i="35" s="1"/>
  <c r="I46" i="35" s="1"/>
  <c r="I47" i="35" s="1"/>
  <c r="I48" i="35" s="1"/>
  <c r="I49" i="35" s="1"/>
  <c r="I50" i="35" s="1"/>
  <c r="I39" i="34"/>
  <c r="I40" i="34" s="1"/>
  <c r="I41" i="34" s="1"/>
  <c r="I42" i="34" s="1"/>
  <c r="I43" i="34" s="1"/>
  <c r="I44" i="34" s="1"/>
  <c r="I45" i="34" s="1"/>
  <c r="I46" i="34" s="1"/>
  <c r="I47" i="34" s="1"/>
  <c r="I48" i="34" s="1"/>
  <c r="I49" i="34" s="1"/>
  <c r="I50" i="34" s="1"/>
  <c r="Q35" i="22"/>
  <c r="E39" i="35" s="1"/>
  <c r="E40" i="35" s="1"/>
  <c r="E41" i="35" s="1"/>
  <c r="E42" i="35" s="1"/>
  <c r="E43" i="35" s="1"/>
  <c r="E44" i="35" s="1"/>
  <c r="E45" i="35" s="1"/>
  <c r="E46" i="35" s="1"/>
  <c r="E47" i="35" s="1"/>
  <c r="E48" i="35" s="1"/>
  <c r="E49" i="35" s="1"/>
  <c r="E50" i="35" s="1"/>
  <c r="E39" i="34"/>
  <c r="E40" i="34" s="1"/>
  <c r="E41" i="34" s="1"/>
  <c r="E42" i="34" s="1"/>
  <c r="E43" i="34" s="1"/>
  <c r="E44" i="34" s="1"/>
  <c r="E45" i="34" s="1"/>
  <c r="E46" i="34" s="1"/>
  <c r="E47" i="34" s="1"/>
  <c r="E48" i="34" s="1"/>
  <c r="E49" i="34" s="1"/>
  <c r="E50" i="34" s="1"/>
  <c r="E48" i="24"/>
  <c r="I44" i="24"/>
  <c r="M46" i="24"/>
  <c r="Q41" i="22" l="1"/>
  <c r="M39" i="35"/>
  <c r="M40" i="35" s="1"/>
  <c r="M41" i="35" s="1"/>
  <c r="M42" i="35" s="1"/>
  <c r="M43" i="35" s="1"/>
  <c r="M44" i="35" s="1"/>
  <c r="M45" i="35" s="1"/>
  <c r="M46" i="35" s="1"/>
  <c r="M47" i="35" s="1"/>
  <c r="M48" i="35" s="1"/>
  <c r="M49" i="35" s="1"/>
  <c r="M50" i="35" s="1"/>
  <c r="I45" i="24"/>
  <c r="E49" i="24"/>
  <c r="M47" i="24"/>
  <c r="E50" i="24" l="1"/>
  <c r="I46" i="24"/>
  <c r="M48" i="24"/>
  <c r="M49" i="24" l="1"/>
  <c r="I47" i="24"/>
  <c r="N71" i="24" l="1"/>
  <c r="P90" i="24"/>
  <c r="J90" i="24"/>
  <c r="I48" i="24"/>
  <c r="N90" i="24"/>
  <c r="M50" i="24"/>
  <c r="P71" i="24" l="1"/>
  <c r="J71" i="24"/>
  <c r="F90" i="24"/>
  <c r="I49" i="24"/>
  <c r="I50" i="24" l="1"/>
  <c r="F71" i="24" l="1"/>
  <c r="E23" i="40" l="1"/>
  <c r="E30" i="40"/>
  <c r="E26" i="40"/>
  <c r="E22" i="40"/>
  <c r="E31" i="40"/>
  <c r="E24" i="40"/>
  <c r="E28" i="40"/>
  <c r="E21" i="40"/>
  <c r="E29" i="40"/>
  <c r="E8" i="40" l="1"/>
  <c r="E16" i="40"/>
  <c r="E13" i="40"/>
  <c r="E7" i="40"/>
  <c r="E14" i="40"/>
  <c r="E15" i="40"/>
  <c r="E9" i="40"/>
  <c r="E11" i="40"/>
  <c r="E6" i="40"/>
  <c r="E25" i="40" l="1"/>
  <c r="G49" i="26"/>
  <c r="E27" i="40"/>
  <c r="G23" i="26" l="1"/>
  <c r="E12" i="40"/>
  <c r="E10" i="40"/>
  <c r="N38" i="23" l="1"/>
  <c r="N39" i="23"/>
  <c r="N40" i="23"/>
  <c r="N41" i="23"/>
  <c r="N42" i="23"/>
  <c r="N43" i="23"/>
  <c r="N44" i="23"/>
  <c r="N45" i="23"/>
  <c r="N46" i="23"/>
  <c r="N47" i="23"/>
  <c r="N48" i="23"/>
  <c r="N49" i="23"/>
  <c r="J46" i="23"/>
  <c r="J47" i="23"/>
  <c r="J48" i="23"/>
  <c r="J49" i="23"/>
  <c r="J43" i="23"/>
  <c r="J39" i="23"/>
  <c r="J38" i="23"/>
  <c r="J42" i="23"/>
  <c r="J44" i="23"/>
  <c r="J40" i="23"/>
  <c r="J41" i="23"/>
  <c r="J45" i="23"/>
  <c r="F38" i="23"/>
  <c r="F46" i="23"/>
  <c r="F39" i="23"/>
  <c r="F40" i="23"/>
  <c r="F42" i="23"/>
  <c r="F47" i="23"/>
  <c r="F48" i="23"/>
  <c r="F49" i="23"/>
  <c r="F43" i="23"/>
  <c r="F45" i="23"/>
  <c r="F41" i="23"/>
  <c r="F44" i="23"/>
  <c r="N19" i="23"/>
  <c r="N20" i="23"/>
  <c r="N21" i="23"/>
  <c r="N22" i="23"/>
  <c r="N23" i="23"/>
  <c r="N24" i="23"/>
  <c r="N26" i="23"/>
  <c r="N27" i="23"/>
  <c r="N28" i="23"/>
  <c r="N29" i="23"/>
  <c r="N30" i="23"/>
  <c r="N25" i="23"/>
  <c r="J19" i="23"/>
  <c r="J20" i="23"/>
  <c r="J21" i="23"/>
  <c r="J22" i="23"/>
  <c r="J23" i="23"/>
  <c r="J24" i="23"/>
  <c r="J25" i="23"/>
  <c r="J26" i="23"/>
  <c r="J27" i="23"/>
  <c r="J28" i="23"/>
  <c r="J29" i="23"/>
  <c r="J30" i="23"/>
  <c r="F27" i="23"/>
  <c r="F26" i="23"/>
  <c r="F20" i="23"/>
  <c r="F28" i="23"/>
  <c r="F25" i="23"/>
  <c r="F23" i="23"/>
  <c r="F30" i="23"/>
  <c r="F29" i="23"/>
  <c r="F24" i="23"/>
  <c r="F22" i="23"/>
  <c r="F21" i="23"/>
  <c r="F19" i="23"/>
  <c r="L51" i="23"/>
  <c r="H51" i="23"/>
  <c r="D51" i="23"/>
  <c r="D95" i="23"/>
  <c r="L32" i="23"/>
  <c r="L95" i="23"/>
  <c r="L96" i="23"/>
  <c r="L97" i="23"/>
  <c r="L98" i="23"/>
  <c r="L99" i="23"/>
  <c r="L100" i="23"/>
  <c r="L101" i="23"/>
  <c r="L102" i="23"/>
  <c r="L103" i="23"/>
  <c r="D32" i="23"/>
  <c r="L104" i="23"/>
  <c r="L105" i="23"/>
  <c r="L106" i="23"/>
  <c r="H95" i="23"/>
  <c r="H32" i="23"/>
  <c r="H96" i="23"/>
  <c r="H97" i="23"/>
  <c r="H98" i="23"/>
  <c r="H99" i="23"/>
  <c r="H100" i="23"/>
  <c r="H101" i="23"/>
  <c r="H102" i="23"/>
  <c r="H103" i="23"/>
  <c r="H104" i="23"/>
  <c r="H105" i="23"/>
  <c r="H106" i="23"/>
  <c r="D104" i="23"/>
  <c r="D101" i="23"/>
  <c r="D99" i="23"/>
  <c r="D106" i="23"/>
  <c r="D105" i="23"/>
  <c r="D100" i="23"/>
  <c r="D98" i="23"/>
  <c r="D97" i="23"/>
  <c r="D103" i="23"/>
  <c r="D102" i="23"/>
  <c r="D96" i="23"/>
  <c r="P39" i="23" l="1"/>
  <c r="P45" i="23"/>
  <c r="F104" i="23"/>
  <c r="E104" i="23" s="1"/>
  <c r="P29" i="23"/>
  <c r="P22" i="23"/>
  <c r="J99" i="23"/>
  <c r="I99" i="23" s="1"/>
  <c r="P42" i="23"/>
  <c r="P27" i="23"/>
  <c r="N106" i="23"/>
  <c r="M106" i="23" s="1"/>
  <c r="N97" i="23"/>
  <c r="M97" i="23" s="1"/>
  <c r="P41" i="23"/>
  <c r="P48" i="23"/>
  <c r="F106" i="23"/>
  <c r="E106" i="23" s="1"/>
  <c r="P40" i="23"/>
  <c r="J102" i="23"/>
  <c r="I102" i="23" s="1"/>
  <c r="N99" i="23"/>
  <c r="M99" i="23" s="1"/>
  <c r="N96" i="23"/>
  <c r="M96" i="23" s="1"/>
  <c r="N104" i="23"/>
  <c r="M104" i="23" s="1"/>
  <c r="N95" i="23"/>
  <c r="M95" i="23" s="1"/>
  <c r="P46" i="23"/>
  <c r="J104" i="23"/>
  <c r="I104" i="23" s="1"/>
  <c r="F105" i="23"/>
  <c r="E105" i="23" s="1"/>
  <c r="J100" i="23"/>
  <c r="I100" i="23" s="1"/>
  <c r="P47" i="23"/>
  <c r="F103" i="23"/>
  <c r="E103" i="23" s="1"/>
  <c r="N103" i="23"/>
  <c r="M103" i="23" s="1"/>
  <c r="P38" i="23"/>
  <c r="J96" i="23"/>
  <c r="I96" i="23" s="1"/>
  <c r="F100" i="23"/>
  <c r="E100" i="23" s="1"/>
  <c r="N101" i="23"/>
  <c r="M101" i="23" s="1"/>
  <c r="N98" i="23"/>
  <c r="M98" i="23" s="1"/>
  <c r="P49" i="23"/>
  <c r="N51" i="23"/>
  <c r="M51" i="23" s="1"/>
  <c r="P44" i="23"/>
  <c r="P30" i="23"/>
  <c r="N105" i="23"/>
  <c r="M105" i="23" s="1"/>
  <c r="F51" i="23"/>
  <c r="E51" i="23" s="1"/>
  <c r="F95" i="23"/>
  <c r="E95" i="23" s="1"/>
  <c r="N32" i="23"/>
  <c r="M32" i="23" s="1"/>
  <c r="J98" i="23"/>
  <c r="J51" i="23"/>
  <c r="I51" i="23" s="1"/>
  <c r="J103" i="23"/>
  <c r="N102" i="23"/>
  <c r="M102" i="23" s="1"/>
  <c r="J106" i="23"/>
  <c r="I106" i="23" s="1"/>
  <c r="N100" i="23"/>
  <c r="M100" i="23" s="1"/>
  <c r="J95" i="23"/>
  <c r="J101" i="23"/>
  <c r="I101" i="23" s="1"/>
  <c r="P43" i="23"/>
  <c r="P25" i="23"/>
  <c r="F101" i="23"/>
  <c r="E101" i="23" s="1"/>
  <c r="F96" i="23"/>
  <c r="E96" i="23" s="1"/>
  <c r="F102" i="23"/>
  <c r="E102" i="23" s="1"/>
  <c r="J105" i="23"/>
  <c r="F99" i="23"/>
  <c r="E99" i="23" s="1"/>
  <c r="P26" i="23"/>
  <c r="P20" i="23"/>
  <c r="F98" i="23"/>
  <c r="E98" i="23" s="1"/>
  <c r="P23" i="23"/>
  <c r="J32" i="23"/>
  <c r="I32" i="23" s="1"/>
  <c r="P19" i="23"/>
  <c r="P28" i="23"/>
  <c r="P24" i="23"/>
  <c r="P21" i="23"/>
  <c r="J97" i="23"/>
  <c r="I97" i="23" s="1"/>
  <c r="F32" i="23"/>
  <c r="E32" i="23" s="1"/>
  <c r="F97" i="23"/>
  <c r="L108" i="23"/>
  <c r="H108" i="23"/>
  <c r="D108" i="23"/>
  <c r="G22" i="27" l="1"/>
  <c r="G42" i="27"/>
  <c r="G52" i="27"/>
  <c r="P99" i="23"/>
  <c r="P105" i="23"/>
  <c r="P51" i="23"/>
  <c r="P103" i="23"/>
  <c r="P95" i="23"/>
  <c r="P96" i="23"/>
  <c r="I103" i="23"/>
  <c r="P104" i="23"/>
  <c r="N108" i="23"/>
  <c r="M108" i="23" s="1"/>
  <c r="P98" i="23"/>
  <c r="I95" i="23"/>
  <c r="P101" i="23"/>
  <c r="I105" i="23"/>
  <c r="P106" i="23"/>
  <c r="I98" i="23"/>
  <c r="P100" i="23"/>
  <c r="P102" i="23"/>
  <c r="P97" i="23"/>
  <c r="J108" i="23"/>
  <c r="I108" i="23" s="1"/>
  <c r="P32" i="23"/>
  <c r="F108" i="23"/>
  <c r="E108" i="23" s="1"/>
  <c r="E97" i="23"/>
  <c r="G40" i="27" l="1"/>
  <c r="G34" i="27"/>
  <c r="G53" i="27" s="1"/>
  <c r="G18" i="27"/>
  <c r="G41" i="27" s="1"/>
  <c r="P108" i="23"/>
  <c r="P112" i="23" s="1"/>
  <c r="G20" i="27" l="1"/>
  <c r="G43" i="27" s="1"/>
  <c r="E38" i="27" l="1"/>
  <c r="E36" i="27"/>
  <c r="E57" i="27" l="1"/>
  <c r="E55" i="27"/>
  <c r="E15" i="50" l="1"/>
  <c r="F38" i="27"/>
  <c r="F53" i="26" s="1"/>
  <c r="F27" i="26"/>
  <c r="E14" i="50"/>
  <c r="F36" i="27"/>
  <c r="F52" i="26" s="1"/>
  <c r="F26" i="26"/>
  <c r="E36" i="28" l="1"/>
  <c r="E38" i="28"/>
  <c r="G26" i="26"/>
  <c r="G52" i="26"/>
  <c r="F14" i="50"/>
  <c r="G27" i="26"/>
  <c r="G53" i="26"/>
  <c r="F15" i="50"/>
  <c r="E36" i="29" l="1"/>
  <c r="E38" i="29"/>
  <c r="E38" i="30" l="1"/>
  <c r="E36" i="30"/>
  <c r="F37" i="26"/>
  <c r="F57" i="27" l="1"/>
  <c r="F63" i="26" s="1"/>
  <c r="H15" i="50"/>
  <c r="D50" i="50"/>
  <c r="E36" i="31"/>
  <c r="E38" i="31"/>
  <c r="G63" i="26"/>
  <c r="M53" i="26"/>
  <c r="I15" i="50"/>
  <c r="J15" i="50" s="1"/>
  <c r="F27" i="50"/>
  <c r="G37" i="26"/>
  <c r="M27" i="26"/>
  <c r="F38" i="28" l="1"/>
  <c r="F43" i="36" s="1"/>
  <c r="F27" i="36"/>
  <c r="E50" i="50"/>
  <c r="F38" i="29" l="1"/>
  <c r="F43" i="37" s="1"/>
  <c r="F50" i="50"/>
  <c r="F27" i="37"/>
  <c r="F38" i="30" l="1"/>
  <c r="F43" i="38" s="1"/>
  <c r="F27" i="38" l="1"/>
  <c r="G50" i="50"/>
  <c r="F38" i="31"/>
  <c r="F43" i="39" s="1"/>
  <c r="H50" i="50"/>
  <c r="F27" i="39"/>
  <c r="E7" i="50" l="1"/>
  <c r="H17" i="27"/>
  <c r="E17" i="26" s="1"/>
  <c r="E18" i="27" l="1"/>
  <c r="H18" i="27" s="1"/>
  <c r="E43" i="26" s="1"/>
  <c r="G43" i="26" s="1"/>
  <c r="G17" i="26"/>
  <c r="F7" i="50"/>
  <c r="E43" i="50" l="1"/>
  <c r="E20" i="28"/>
  <c r="H20" i="28" s="1"/>
  <c r="E34" i="36" s="1"/>
  <c r="H19" i="28"/>
  <c r="E18" i="36" s="1"/>
  <c r="H19" i="29"/>
  <c r="E18" i="37" s="1"/>
  <c r="F43" i="50"/>
  <c r="E20" i="29"/>
  <c r="H20" i="29" s="1"/>
  <c r="E34" i="37" s="1"/>
  <c r="D43" i="50" l="1"/>
  <c r="H19" i="27" l="1"/>
  <c r="E18" i="26" s="1"/>
  <c r="E20" i="27"/>
  <c r="H20" i="27" s="1"/>
  <c r="E44" i="26" s="1"/>
  <c r="E8" i="50"/>
  <c r="F8" i="50" s="1"/>
  <c r="E20" i="31"/>
  <c r="H20" i="31" s="1"/>
  <c r="E34" i="39" s="1"/>
  <c r="H19" i="30"/>
  <c r="E18" i="38" s="1"/>
  <c r="H43" i="50"/>
  <c r="H19" i="31"/>
  <c r="E18" i="39" s="1"/>
  <c r="G18" i="26"/>
  <c r="L18" i="26"/>
  <c r="G44" i="26"/>
  <c r="L44" i="26"/>
  <c r="G43" i="50"/>
  <c r="F20" i="50"/>
  <c r="E20" i="30" l="1"/>
  <c r="H20" i="30" s="1"/>
  <c r="E34" i="38" s="1"/>
  <c r="J8" i="50"/>
  <c r="H13" i="50" l="1"/>
  <c r="I13" i="50" s="1"/>
  <c r="H52" i="27" l="1"/>
  <c r="E35" i="26" s="1"/>
  <c r="G35" i="26" s="1"/>
  <c r="E53" i="27"/>
  <c r="H53" i="27" s="1"/>
  <c r="E61" i="26" s="1"/>
  <c r="G61" i="26" s="1"/>
  <c r="H14" i="50" l="1"/>
  <c r="F36" i="26"/>
  <c r="F55" i="27"/>
  <c r="F62" i="26" s="1"/>
  <c r="D49" i="50"/>
  <c r="G62" i="26" l="1"/>
  <c r="M52" i="26"/>
  <c r="G36" i="26"/>
  <c r="M26" i="26"/>
  <c r="I14" i="50"/>
  <c r="J14" i="50" s="1"/>
  <c r="F26" i="50"/>
  <c r="E49" i="50" l="1"/>
  <c r="F26" i="36"/>
  <c r="F36" i="28"/>
  <c r="F42" i="36" s="1"/>
  <c r="F36" i="29" l="1"/>
  <c r="F42" i="37" s="1"/>
  <c r="F49" i="50"/>
  <c r="F26" i="37"/>
  <c r="F36" i="31" l="1"/>
  <c r="F42" i="39" s="1"/>
  <c r="H49" i="50"/>
  <c r="F26" i="39"/>
  <c r="F26" i="38"/>
  <c r="F36" i="30"/>
  <c r="F42" i="38" s="1"/>
  <c r="G49" i="50"/>
  <c r="E43" i="27" l="1"/>
  <c r="H43" i="27" s="1"/>
  <c r="E56" i="26" s="1"/>
  <c r="G56" i="26" s="1"/>
  <c r="H9" i="50" l="1"/>
  <c r="I9" i="50" s="1"/>
  <c r="H42" i="27"/>
  <c r="E30" i="26" s="1"/>
  <c r="G30" i="26" s="1"/>
  <c r="H7" i="50" l="1"/>
  <c r="E41" i="27" l="1"/>
  <c r="H41" i="27" s="1"/>
  <c r="E55" i="26" s="1"/>
  <c r="G55" i="26" s="1"/>
  <c r="D42" i="50"/>
  <c r="H40" i="27"/>
  <c r="E29" i="26" s="1"/>
  <c r="G29" i="26" s="1"/>
  <c r="I7" i="50"/>
  <c r="J7" i="50" s="1"/>
  <c r="F19" i="50"/>
  <c r="L43" i="26" l="1"/>
  <c r="L17" i="26"/>
  <c r="H17" i="28" l="1"/>
  <c r="E17" i="36" s="1"/>
  <c r="E18" i="28"/>
  <c r="H18" i="28" s="1"/>
  <c r="E33" i="36" s="1"/>
  <c r="E42" i="50"/>
  <c r="H17" i="29" l="1"/>
  <c r="E17" i="37" s="1"/>
  <c r="F42" i="50" l="1"/>
  <c r="E18" i="29"/>
  <c r="H18" i="29" s="1"/>
  <c r="E33" i="37" s="1"/>
  <c r="D48" i="50" l="1"/>
  <c r="H33" i="27"/>
  <c r="E25" i="26" s="1"/>
  <c r="E13" i="50"/>
  <c r="E34" i="27"/>
  <c r="H34" i="27" s="1"/>
  <c r="E51" i="26" s="1"/>
  <c r="G25" i="26" l="1"/>
  <c r="L25" i="26"/>
  <c r="L51" i="26"/>
  <c r="G51" i="26"/>
  <c r="F13" i="50"/>
  <c r="J13" i="50" s="1"/>
  <c r="F25" i="50"/>
  <c r="E48" i="50" l="1"/>
  <c r="H33" i="28"/>
  <c r="E25" i="36" s="1"/>
  <c r="E34" i="28"/>
  <c r="H34" i="28" s="1"/>
  <c r="E41" i="36" s="1"/>
  <c r="E34" i="29" l="1"/>
  <c r="H34" i="29" s="1"/>
  <c r="E41" i="37" s="1"/>
  <c r="F48" i="50"/>
  <c r="H33" i="29"/>
  <c r="E25" i="37" s="1"/>
  <c r="H33" i="30" l="1"/>
  <c r="E25" i="38" s="1"/>
  <c r="E34" i="30" l="1"/>
  <c r="H34" i="30" s="1"/>
  <c r="E41" i="38" s="1"/>
  <c r="G48" i="50"/>
  <c r="H48" i="50"/>
  <c r="H33" i="31" l="1"/>
  <c r="E25" i="39" s="1"/>
  <c r="E34" i="31"/>
  <c r="H34" i="31" s="1"/>
  <c r="E41" i="39" s="1"/>
  <c r="E18" i="30" l="1"/>
  <c r="H18" i="30" s="1"/>
  <c r="E33" i="38" s="1"/>
  <c r="H17" i="30" l="1"/>
  <c r="E17" i="38" s="1"/>
  <c r="G42" i="50"/>
  <c r="E18" i="31" l="1"/>
  <c r="H18" i="31" s="1"/>
  <c r="E33" i="39" s="1"/>
  <c r="H42" i="50"/>
  <c r="H17" i="31"/>
  <c r="E17" i="39" s="1"/>
  <c r="E9" i="50" l="1"/>
  <c r="E22" i="27"/>
  <c r="H22" i="27" s="1"/>
  <c r="E45" i="26" s="1"/>
  <c r="H21" i="27"/>
  <c r="E19" i="26" s="1"/>
  <c r="D44" i="50"/>
  <c r="G19" i="26" l="1"/>
  <c r="L19" i="26"/>
  <c r="G45" i="26"/>
  <c r="L45" i="26"/>
  <c r="F9" i="50"/>
  <c r="F21" i="50"/>
  <c r="E44" i="50" l="1"/>
  <c r="E22" i="28"/>
  <c r="H22" i="28" s="1"/>
  <c r="E35" i="36" s="1"/>
  <c r="H21" i="28"/>
  <c r="E19" i="36" s="1"/>
  <c r="H21" i="29"/>
  <c r="E19" i="37" s="1"/>
  <c r="F44" i="50"/>
  <c r="E22" i="29"/>
  <c r="H22" i="29" s="1"/>
  <c r="E35" i="37" s="1"/>
  <c r="J9" i="50"/>
  <c r="E22" i="30"/>
  <c r="H22" i="30" s="1"/>
  <c r="E35" i="38" s="1"/>
  <c r="G44" i="50"/>
  <c r="H21" i="30"/>
  <c r="E19" i="38" s="1"/>
  <c r="E22" i="31" l="1"/>
  <c r="H22" i="31" s="1"/>
  <c r="E35" i="39" s="1"/>
  <c r="H44" i="50"/>
  <c r="H21" i="31"/>
  <c r="E19" i="39" s="1"/>
  <c r="E47" i="27" l="1"/>
  <c r="E45" i="27"/>
  <c r="E32" i="29" l="1"/>
  <c r="E32" i="27"/>
  <c r="E26" i="27" l="1"/>
  <c r="E32" i="28"/>
  <c r="E49" i="27"/>
  <c r="E32" i="30"/>
  <c r="F32" i="27"/>
  <c r="F50" i="26" s="1"/>
  <c r="F32" i="29"/>
  <c r="F40" i="37" s="1"/>
  <c r="E28" i="29"/>
  <c r="E24" i="27"/>
  <c r="E28" i="27"/>
  <c r="H10" i="50"/>
  <c r="I10" i="50" s="1"/>
  <c r="F31" i="26"/>
  <c r="G31" i="26" s="1"/>
  <c r="F45" i="27"/>
  <c r="F57" i="26" s="1"/>
  <c r="G57" i="26" s="1"/>
  <c r="F32" i="26"/>
  <c r="G32" i="26" s="1"/>
  <c r="F47" i="27"/>
  <c r="F58" i="26" s="1"/>
  <c r="G58" i="26" s="1"/>
  <c r="F24" i="26" l="1"/>
  <c r="F47" i="50"/>
  <c r="D47" i="50"/>
  <c r="F24" i="37"/>
  <c r="E28" i="31"/>
  <c r="F32" i="28"/>
  <c r="F40" i="36" s="1"/>
  <c r="G47" i="50"/>
  <c r="E28" i="28"/>
  <c r="E12" i="50"/>
  <c r="F24" i="50" s="1"/>
  <c r="M50" i="26"/>
  <c r="G50" i="26"/>
  <c r="M24" i="26"/>
  <c r="G24" i="26"/>
  <c r="E26" i="30"/>
  <c r="E24" i="30"/>
  <c r="E26" i="31"/>
  <c r="E24" i="31"/>
  <c r="E47" i="50" l="1"/>
  <c r="F24" i="36"/>
  <c r="E28" i="30"/>
  <c r="E32" i="31"/>
  <c r="F12" i="50"/>
  <c r="J12" i="50" s="1"/>
  <c r="F24" i="38"/>
  <c r="F32" i="30"/>
  <c r="F40" i="38" s="1"/>
  <c r="E10" i="50"/>
  <c r="F24" i="27"/>
  <c r="F46" i="26" s="1"/>
  <c r="D45" i="50"/>
  <c r="F20" i="26"/>
  <c r="F21" i="26"/>
  <c r="F26" i="27"/>
  <c r="F47" i="26" s="1"/>
  <c r="F24" i="30" l="1"/>
  <c r="F36" i="38" s="1"/>
  <c r="G45" i="50"/>
  <c r="F20" i="38"/>
  <c r="G47" i="26"/>
  <c r="M47" i="26"/>
  <c r="E26" i="29"/>
  <c r="E24" i="29"/>
  <c r="F26" i="30"/>
  <c r="F37" i="38" s="1"/>
  <c r="F21" i="38"/>
  <c r="F10" i="50"/>
  <c r="F22" i="50"/>
  <c r="G46" i="26"/>
  <c r="M46" i="26"/>
  <c r="G20" i="26"/>
  <c r="M20" i="26"/>
  <c r="F20" i="39"/>
  <c r="F24" i="31"/>
  <c r="F36" i="39" s="1"/>
  <c r="H45" i="50"/>
  <c r="M21" i="26"/>
  <c r="G21" i="26"/>
  <c r="F21" i="39"/>
  <c r="F26" i="31"/>
  <c r="F37" i="39" s="1"/>
  <c r="H46" i="50" l="1"/>
  <c r="H11" i="50"/>
  <c r="I11" i="50" s="1"/>
  <c r="I16" i="50" s="1"/>
  <c r="J10" i="50"/>
  <c r="E11" i="50"/>
  <c r="F22" i="26"/>
  <c r="F28" i="27"/>
  <c r="F48" i="26" s="1"/>
  <c r="D46" i="50" l="1"/>
  <c r="F49" i="27"/>
  <c r="F59" i="26" s="1"/>
  <c r="G59" i="26" s="1"/>
  <c r="F33" i="26"/>
  <c r="G33" i="26" s="1"/>
  <c r="F22" i="39"/>
  <c r="F28" i="28"/>
  <c r="F38" i="36" s="1"/>
  <c r="F28" i="31"/>
  <c r="F38" i="39" s="1"/>
  <c r="G48" i="26"/>
  <c r="G64" i="26" s="1"/>
  <c r="F23" i="50"/>
  <c r="F11" i="50"/>
  <c r="G22" i="26"/>
  <c r="F28" i="29"/>
  <c r="F38" i="37" s="1"/>
  <c r="F46" i="50"/>
  <c r="F22" i="37"/>
  <c r="F22" i="36" l="1"/>
  <c r="E46" i="50"/>
  <c r="M22" i="26"/>
  <c r="F32" i="31"/>
  <c r="F40" i="39" s="1"/>
  <c r="M48" i="26"/>
  <c r="F28" i="30"/>
  <c r="F38" i="38" s="1"/>
  <c r="F22" i="38"/>
  <c r="G46" i="50"/>
  <c r="J11" i="50"/>
  <c r="J16" i="50" s="1"/>
  <c r="E28" i="50" s="1"/>
  <c r="F16" i="50"/>
  <c r="H46" i="26"/>
  <c r="H64" i="26"/>
  <c r="H60" i="26"/>
  <c r="H49" i="26"/>
  <c r="H53" i="26"/>
  <c r="H52" i="26"/>
  <c r="H63" i="26"/>
  <c r="H43" i="26"/>
  <c r="H44" i="26"/>
  <c r="K44" i="26" s="1"/>
  <c r="H61" i="26"/>
  <c r="H62" i="26"/>
  <c r="H56" i="26"/>
  <c r="H55" i="26"/>
  <c r="H51" i="26"/>
  <c r="H45" i="26"/>
  <c r="H58" i="26"/>
  <c r="H57" i="26"/>
  <c r="H50" i="26"/>
  <c r="K50" i="26" s="1"/>
  <c r="H47" i="26"/>
  <c r="H59" i="26"/>
  <c r="G38" i="26"/>
  <c r="H22" i="26" s="1"/>
  <c r="H48" i="26"/>
  <c r="K48" i="26" l="1"/>
  <c r="K49" i="26"/>
  <c r="K45" i="26"/>
  <c r="D21" i="50" s="1"/>
  <c r="E21" i="50" s="1"/>
  <c r="G21" i="50" s="1"/>
  <c r="D33" i="50" s="1"/>
  <c r="F24" i="39"/>
  <c r="K43" i="26"/>
  <c r="H47" i="50"/>
  <c r="K47" i="26"/>
  <c r="K53" i="26"/>
  <c r="D27" i="50" s="1"/>
  <c r="E27" i="50" s="1"/>
  <c r="G27" i="50" s="1"/>
  <c r="D39" i="50" s="1"/>
  <c r="D23" i="50"/>
  <c r="E23" i="50" s="1"/>
  <c r="G23" i="50" s="1"/>
  <c r="D35" i="50" s="1"/>
  <c r="D20" i="50"/>
  <c r="E20" i="50" s="1"/>
  <c r="G20" i="50" s="1"/>
  <c r="D32" i="50" s="1"/>
  <c r="D19" i="50"/>
  <c r="E19" i="50" s="1"/>
  <c r="G19" i="50" s="1"/>
  <c r="D31" i="50" s="1"/>
  <c r="K52" i="26"/>
  <c r="D22" i="50"/>
  <c r="E22" i="50" s="1"/>
  <c r="G22" i="50" s="1"/>
  <c r="D34" i="50" s="1"/>
  <c r="D24" i="50"/>
  <c r="E24" i="50" s="1"/>
  <c r="G24" i="50" s="1"/>
  <c r="D36" i="50" s="1"/>
  <c r="K51" i="26"/>
  <c r="H21" i="26"/>
  <c r="H23" i="26"/>
  <c r="H34" i="26"/>
  <c r="H38" i="26"/>
  <c r="H27" i="26"/>
  <c r="H26" i="26"/>
  <c r="H37" i="26"/>
  <c r="H17" i="26"/>
  <c r="H18" i="26"/>
  <c r="K18" i="26" s="1"/>
  <c r="H35" i="26"/>
  <c r="H36" i="26"/>
  <c r="H30" i="26"/>
  <c r="H29" i="26"/>
  <c r="H25" i="26"/>
  <c r="H19" i="26"/>
  <c r="H32" i="26"/>
  <c r="H31" i="26"/>
  <c r="H24" i="26"/>
  <c r="K24" i="26" s="1"/>
  <c r="H20" i="26"/>
  <c r="K20" i="26" s="1"/>
  <c r="H33" i="26"/>
  <c r="K22" i="26" s="1"/>
  <c r="K46" i="26"/>
  <c r="E34" i="50" l="1"/>
  <c r="F34" i="50" s="1"/>
  <c r="D56" i="50"/>
  <c r="E35" i="50"/>
  <c r="D57" i="50"/>
  <c r="K17" i="26"/>
  <c r="D26" i="50"/>
  <c r="E26" i="50" s="1"/>
  <c r="G26" i="50" s="1"/>
  <c r="D38" i="50" s="1"/>
  <c r="E31" i="50"/>
  <c r="D53" i="50"/>
  <c r="E32" i="50"/>
  <c r="D54" i="50"/>
  <c r="F45" i="50"/>
  <c r="F24" i="29"/>
  <c r="F36" i="37" s="1"/>
  <c r="F20" i="37"/>
  <c r="E39" i="50"/>
  <c r="D61" i="50"/>
  <c r="D58" i="50"/>
  <c r="E36" i="50"/>
  <c r="K26" i="26"/>
  <c r="K27" i="26"/>
  <c r="K23" i="26"/>
  <c r="F26" i="29"/>
  <c r="F37" i="37" s="1"/>
  <c r="F21" i="37"/>
  <c r="K21" i="26"/>
  <c r="D25" i="50"/>
  <c r="E25" i="50" s="1"/>
  <c r="G25" i="50" s="1"/>
  <c r="D37" i="50" s="1"/>
  <c r="K19" i="26"/>
  <c r="K25" i="26"/>
  <c r="E33" i="50"/>
  <c r="D55" i="50"/>
  <c r="F35" i="50" l="1"/>
  <c r="E57" i="50"/>
  <c r="F36" i="50"/>
  <c r="E58" i="50"/>
  <c r="E53" i="50"/>
  <c r="F31" i="50"/>
  <c r="E38" i="50"/>
  <c r="D60" i="50"/>
  <c r="F32" i="50"/>
  <c r="E54" i="50"/>
  <c r="F56" i="50"/>
  <c r="G34" i="50"/>
  <c r="F39" i="50"/>
  <c r="E61" i="50"/>
  <c r="D59" i="50"/>
  <c r="E37" i="50"/>
  <c r="F33" i="50"/>
  <c r="E55" i="50"/>
  <c r="D62" i="50" l="1"/>
  <c r="G31" i="50"/>
  <c r="F53" i="50"/>
  <c r="G32" i="50"/>
  <c r="F54" i="50"/>
  <c r="G36" i="50"/>
  <c r="F58" i="50"/>
  <c r="H34" i="50"/>
  <c r="H56" i="50" s="1"/>
  <c r="G56" i="50"/>
  <c r="G35" i="50"/>
  <c r="F57" i="50"/>
  <c r="F38" i="50"/>
  <c r="E60" i="50"/>
  <c r="G39" i="50"/>
  <c r="F61" i="50"/>
  <c r="F55" i="50"/>
  <c r="G33" i="50"/>
  <c r="F37" i="50"/>
  <c r="E59" i="50"/>
  <c r="H32" i="50" l="1"/>
  <c r="H54" i="50" s="1"/>
  <c r="G54" i="50"/>
  <c r="H33" i="50"/>
  <c r="H55" i="50" s="1"/>
  <c r="G55" i="50"/>
  <c r="H39" i="50"/>
  <c r="H61" i="50" s="1"/>
  <c r="G61" i="50"/>
  <c r="G38" i="50"/>
  <c r="F60" i="50"/>
  <c r="H35" i="50"/>
  <c r="H57" i="50" s="1"/>
  <c r="G57" i="50"/>
  <c r="H36" i="50"/>
  <c r="H58" i="50" s="1"/>
  <c r="G58" i="50"/>
  <c r="G37" i="50"/>
  <c r="F59" i="50"/>
  <c r="F62" i="50" s="1"/>
  <c r="H31" i="50"/>
  <c r="H53" i="50" s="1"/>
  <c r="G53" i="50"/>
  <c r="H37" i="50" l="1"/>
  <c r="H59" i="50" s="1"/>
  <c r="G59" i="50"/>
  <c r="G60" i="50"/>
  <c r="H38" i="50"/>
  <c r="H60" i="50" s="1"/>
  <c r="G62" i="50" l="1"/>
  <c r="H62" i="50"/>
  <c r="J49" i="24" l="1"/>
  <c r="F45" i="24"/>
  <c r="F44" i="24"/>
  <c r="J50" i="24"/>
  <c r="N40" i="24"/>
  <c r="N49" i="24"/>
  <c r="N50" i="24"/>
  <c r="F50" i="24" l="1"/>
  <c r="N45" i="24"/>
  <c r="F41" i="24"/>
  <c r="F49" i="24"/>
  <c r="H107" i="24"/>
  <c r="N41" i="24"/>
  <c r="J29" i="24"/>
  <c r="N42" i="24"/>
  <c r="F46" i="24"/>
  <c r="N29" i="24"/>
  <c r="F42" i="24"/>
  <c r="F47" i="24"/>
  <c r="F26" i="24"/>
  <c r="F102" i="24" s="1"/>
  <c r="N25" i="24"/>
  <c r="N24" i="24"/>
  <c r="J23" i="24"/>
  <c r="F23" i="24"/>
  <c r="N30" i="24"/>
  <c r="N106" i="24" s="1"/>
  <c r="N48" i="24"/>
  <c r="N44" i="24"/>
  <c r="J46" i="24"/>
  <c r="J25" i="24"/>
  <c r="J21" i="24"/>
  <c r="H106" i="24"/>
  <c r="J43" i="24"/>
  <c r="F30" i="24"/>
  <c r="L102" i="24"/>
  <c r="J28" i="24"/>
  <c r="F48" i="24"/>
  <c r="F20" i="24"/>
  <c r="J47" i="24"/>
  <c r="F29" i="24"/>
  <c r="J42" i="24"/>
  <c r="F39" i="24"/>
  <c r="F40" i="24"/>
  <c r="N46" i="24"/>
  <c r="N22" i="24"/>
  <c r="F31" i="24"/>
  <c r="F107" i="24" s="1"/>
  <c r="N43" i="24"/>
  <c r="J41" i="24"/>
  <c r="J45" i="24"/>
  <c r="P45" i="24" s="1"/>
  <c r="N47" i="24"/>
  <c r="J44" i="24"/>
  <c r="F43" i="24"/>
  <c r="J26" i="24"/>
  <c r="J40" i="24"/>
  <c r="P40" i="24" s="1"/>
  <c r="J48" i="24"/>
  <c r="N28" i="24"/>
  <c r="J24" i="24"/>
  <c r="L96" i="24"/>
  <c r="N27" i="24"/>
  <c r="J39" i="24"/>
  <c r="P50" i="24"/>
  <c r="J27" i="24"/>
  <c r="F21" i="24"/>
  <c r="N31" i="24"/>
  <c r="N107" i="24" s="1"/>
  <c r="L107" i="24"/>
  <c r="F22" i="24"/>
  <c r="F98" i="24" s="1"/>
  <c r="F27" i="24"/>
  <c r="N21" i="24"/>
  <c r="N97" i="24" s="1"/>
  <c r="L97" i="24"/>
  <c r="N39" i="24"/>
  <c r="P49" i="24"/>
  <c r="J22" i="24"/>
  <c r="F28" i="24"/>
  <c r="N49" i="32"/>
  <c r="N48" i="32"/>
  <c r="F43" i="32"/>
  <c r="J40" i="32"/>
  <c r="F40" i="32"/>
  <c r="N40" i="32"/>
  <c r="J47" i="32"/>
  <c r="N42" i="32"/>
  <c r="F47" i="32"/>
  <c r="N44" i="32"/>
  <c r="F50" i="32"/>
  <c r="J50" i="32"/>
  <c r="N45" i="32"/>
  <c r="F44" i="32"/>
  <c r="F45" i="32"/>
  <c r="F48" i="32"/>
  <c r="J49" i="32"/>
  <c r="F49" i="32"/>
  <c r="N43" i="32"/>
  <c r="N46" i="32"/>
  <c r="N41" i="32"/>
  <c r="J41" i="32"/>
  <c r="N50" i="32"/>
  <c r="F42" i="32"/>
  <c r="F41" i="32"/>
  <c r="F46" i="32"/>
  <c r="J42" i="32"/>
  <c r="F104" i="24" l="1"/>
  <c r="N26" i="24"/>
  <c r="N102" i="24" s="1"/>
  <c r="P42" i="24"/>
  <c r="J31" i="24"/>
  <c r="D100" i="24"/>
  <c r="J30" i="24"/>
  <c r="D98" i="24"/>
  <c r="E98" i="24" s="1"/>
  <c r="F106" i="24"/>
  <c r="L99" i="24"/>
  <c r="J44" i="32"/>
  <c r="P44" i="32" s="1"/>
  <c r="D105" i="32"/>
  <c r="N98" i="24"/>
  <c r="F99" i="24"/>
  <c r="D106" i="32"/>
  <c r="P41" i="24"/>
  <c r="F103" i="24"/>
  <c r="D103" i="24"/>
  <c r="J43" i="32"/>
  <c r="P43" i="32" s="1"/>
  <c r="D104" i="24"/>
  <c r="E104" i="24" s="1"/>
  <c r="H96" i="24"/>
  <c r="P46" i="24"/>
  <c r="J21" i="32"/>
  <c r="N23" i="24"/>
  <c r="N99" i="24" s="1"/>
  <c r="D96" i="32"/>
  <c r="H98" i="24"/>
  <c r="F105" i="24"/>
  <c r="L105" i="24"/>
  <c r="N104" i="24"/>
  <c r="D99" i="24"/>
  <c r="D102" i="24"/>
  <c r="E102" i="24" s="1"/>
  <c r="L104" i="24"/>
  <c r="P44" i="24"/>
  <c r="J48" i="32"/>
  <c r="P48" i="32" s="1"/>
  <c r="P47" i="24"/>
  <c r="N105" i="24"/>
  <c r="H99" i="24"/>
  <c r="L101" i="24"/>
  <c r="L98" i="24"/>
  <c r="H102" i="24"/>
  <c r="J45" i="32"/>
  <c r="P45" i="32" s="1"/>
  <c r="H104" i="24"/>
  <c r="L100" i="24"/>
  <c r="N101" i="24"/>
  <c r="P48" i="24"/>
  <c r="N100" i="24"/>
  <c r="H33" i="24"/>
  <c r="L106" i="24"/>
  <c r="M106" i="24" s="1"/>
  <c r="D33" i="24"/>
  <c r="P43" i="24"/>
  <c r="N26" i="32"/>
  <c r="N102" i="32" s="1"/>
  <c r="N47" i="32"/>
  <c r="P47" i="32" s="1"/>
  <c r="D105" i="24"/>
  <c r="J20" i="24"/>
  <c r="J33" i="24" s="1"/>
  <c r="N23" i="32"/>
  <c r="N99" i="32" s="1"/>
  <c r="J46" i="32"/>
  <c r="P46" i="32" s="1"/>
  <c r="H101" i="32"/>
  <c r="L33" i="24"/>
  <c r="D107" i="24"/>
  <c r="E107" i="24" s="1"/>
  <c r="F52" i="24"/>
  <c r="H103" i="24"/>
  <c r="D101" i="24"/>
  <c r="H100" i="24"/>
  <c r="F25" i="24"/>
  <c r="F101" i="24" s="1"/>
  <c r="H52" i="24"/>
  <c r="D52" i="24"/>
  <c r="H105" i="24"/>
  <c r="D96" i="24"/>
  <c r="H101" i="24"/>
  <c r="N103" i="24"/>
  <c r="H97" i="24"/>
  <c r="L103" i="24"/>
  <c r="D97" i="24"/>
  <c r="F97" i="24"/>
  <c r="N52" i="24"/>
  <c r="F24" i="24"/>
  <c r="F100" i="24" s="1"/>
  <c r="E100" i="24" s="1"/>
  <c r="N20" i="24"/>
  <c r="D106" i="24"/>
  <c r="E106" i="24" s="1"/>
  <c r="L52" i="24"/>
  <c r="P49" i="32"/>
  <c r="P42" i="32"/>
  <c r="P40" i="32"/>
  <c r="P50" i="32"/>
  <c r="M102" i="24"/>
  <c r="M97" i="24"/>
  <c r="D99" i="32"/>
  <c r="F23" i="32"/>
  <c r="F99" i="32" s="1"/>
  <c r="N25" i="32"/>
  <c r="N101" i="32" s="1"/>
  <c r="L101" i="32"/>
  <c r="J52" i="24"/>
  <c r="P39" i="24"/>
  <c r="J26" i="32"/>
  <c r="L107" i="32"/>
  <c r="N31" i="32"/>
  <c r="N107" i="32" s="1"/>
  <c r="M107" i="24"/>
  <c r="F26" i="32"/>
  <c r="F102" i="32" s="1"/>
  <c r="D102" i="32"/>
  <c r="F27" i="32"/>
  <c r="F103" i="32" s="1"/>
  <c r="D103" i="32"/>
  <c r="J99" i="24"/>
  <c r="P29" i="24"/>
  <c r="J105" i="24"/>
  <c r="F96" i="24"/>
  <c r="J106" i="24"/>
  <c r="P106" i="24" s="1"/>
  <c r="P30" i="24"/>
  <c r="L105" i="32"/>
  <c r="N29" i="32"/>
  <c r="N105" i="32" s="1"/>
  <c r="F28" i="32"/>
  <c r="F104" i="32" s="1"/>
  <c r="D104" i="32"/>
  <c r="P25" i="24"/>
  <c r="J101" i="24"/>
  <c r="J39" i="32"/>
  <c r="F20" i="32"/>
  <c r="H106" i="32"/>
  <c r="J30" i="32"/>
  <c r="J104" i="24"/>
  <c r="P28" i="24"/>
  <c r="J97" i="24"/>
  <c r="P97" i="24" s="1"/>
  <c r="P21" i="24"/>
  <c r="H107" i="32"/>
  <c r="J31" i="32"/>
  <c r="P22" i="24"/>
  <c r="J98" i="24"/>
  <c r="P98" i="24" s="1"/>
  <c r="L103" i="32"/>
  <c r="N27" i="32"/>
  <c r="N103" i="32" s="1"/>
  <c r="J27" i="32"/>
  <c r="N21" i="32"/>
  <c r="N97" i="32" s="1"/>
  <c r="L97" i="32"/>
  <c r="F22" i="32"/>
  <c r="F98" i="32" s="1"/>
  <c r="D98" i="32"/>
  <c r="N22" i="32"/>
  <c r="N98" i="32" s="1"/>
  <c r="L98" i="32"/>
  <c r="L96" i="32"/>
  <c r="N20" i="32"/>
  <c r="F25" i="32"/>
  <c r="F101" i="32" s="1"/>
  <c r="D101" i="32"/>
  <c r="H97" i="32"/>
  <c r="N39" i="32"/>
  <c r="P24" i="24"/>
  <c r="J100" i="24"/>
  <c r="D97" i="32"/>
  <c r="F21" i="32"/>
  <c r="F97" i="32" s="1"/>
  <c r="H96" i="32"/>
  <c r="J20" i="32"/>
  <c r="N30" i="32"/>
  <c r="N106" i="32" s="1"/>
  <c r="L106" i="32"/>
  <c r="D100" i="32"/>
  <c r="F24" i="32"/>
  <c r="F100" i="32" s="1"/>
  <c r="N28" i="32"/>
  <c r="J29" i="32"/>
  <c r="H105" i="32"/>
  <c r="P41" i="32"/>
  <c r="N24" i="32"/>
  <c r="N100" i="32" s="1"/>
  <c r="L100" i="32"/>
  <c r="P26" i="24"/>
  <c r="J102" i="24"/>
  <c r="P102" i="24" s="1"/>
  <c r="P31" i="24"/>
  <c r="J107" i="24"/>
  <c r="P107" i="24" s="1"/>
  <c r="P27" i="24"/>
  <c r="J103" i="24"/>
  <c r="H104" i="32"/>
  <c r="J28" i="32"/>
  <c r="H98" i="32"/>
  <c r="J22" i="32"/>
  <c r="F31" i="32"/>
  <c r="F107" i="32" s="1"/>
  <c r="D107" i="32"/>
  <c r="H99" i="32"/>
  <c r="J23" i="32"/>
  <c r="J24" i="32"/>
  <c r="F49" i="33"/>
  <c r="J41" i="33"/>
  <c r="J47" i="33"/>
  <c r="F43" i="33"/>
  <c r="J43" i="33"/>
  <c r="J50" i="33"/>
  <c r="J48" i="33"/>
  <c r="N41" i="33"/>
  <c r="F50" i="33"/>
  <c r="J45" i="33"/>
  <c r="N40" i="33"/>
  <c r="J42" i="33"/>
  <c r="J46" i="33"/>
  <c r="F45" i="33"/>
  <c r="N44" i="33"/>
  <c r="N42" i="33"/>
  <c r="F46" i="33"/>
  <c r="N46" i="33"/>
  <c r="J49" i="33"/>
  <c r="F47" i="33"/>
  <c r="F44" i="33"/>
  <c r="N48" i="33"/>
  <c r="N47" i="33"/>
  <c r="F41" i="33"/>
  <c r="N43" i="33"/>
  <c r="F40" i="33"/>
  <c r="F42" i="33"/>
  <c r="N50" i="33"/>
  <c r="N45" i="33"/>
  <c r="J44" i="33"/>
  <c r="F48" i="33"/>
  <c r="J40" i="33"/>
  <c r="N49" i="33"/>
  <c r="F30" i="32" l="1"/>
  <c r="F106" i="32" s="1"/>
  <c r="H100" i="32"/>
  <c r="E99" i="24"/>
  <c r="E103" i="24"/>
  <c r="F29" i="32"/>
  <c r="F105" i="32" s="1"/>
  <c r="E105" i="32" s="1"/>
  <c r="M98" i="24"/>
  <c r="M99" i="24"/>
  <c r="D33" i="32"/>
  <c r="P23" i="24"/>
  <c r="P99" i="24"/>
  <c r="D52" i="32"/>
  <c r="F39" i="32"/>
  <c r="F52" i="32" s="1"/>
  <c r="P105" i="24"/>
  <c r="N33" i="24"/>
  <c r="I64" i="26" s="1"/>
  <c r="F32" i="40" s="1"/>
  <c r="E105" i="24"/>
  <c r="M104" i="24"/>
  <c r="M105" i="24"/>
  <c r="J25" i="32"/>
  <c r="P104" i="24"/>
  <c r="H102" i="32"/>
  <c r="M101" i="24"/>
  <c r="L104" i="32"/>
  <c r="E97" i="24"/>
  <c r="H52" i="32"/>
  <c r="H109" i="24"/>
  <c r="P103" i="24"/>
  <c r="L33" i="32"/>
  <c r="L99" i="32"/>
  <c r="M99" i="32" s="1"/>
  <c r="N96" i="24"/>
  <c r="M96" i="24" s="1"/>
  <c r="H33" i="32"/>
  <c r="M100" i="24"/>
  <c r="N52" i="32"/>
  <c r="L33" i="33"/>
  <c r="E101" i="24"/>
  <c r="H103" i="32"/>
  <c r="M103" i="24"/>
  <c r="I33" i="24"/>
  <c r="D109" i="24"/>
  <c r="P101" i="24"/>
  <c r="E52" i="24"/>
  <c r="P100" i="24"/>
  <c r="J96" i="24"/>
  <c r="I96" i="24" s="1"/>
  <c r="P52" i="24"/>
  <c r="P20" i="24"/>
  <c r="M52" i="24"/>
  <c r="N104" i="32"/>
  <c r="L52" i="32"/>
  <c r="L102" i="32"/>
  <c r="M102" i="32" s="1"/>
  <c r="L109" i="24"/>
  <c r="F33" i="24"/>
  <c r="I38" i="26" s="1"/>
  <c r="F17" i="40" s="1"/>
  <c r="F109" i="24"/>
  <c r="I52" i="24"/>
  <c r="P40" i="33"/>
  <c r="E102" i="32"/>
  <c r="P48" i="33"/>
  <c r="E107" i="32"/>
  <c r="M98" i="32"/>
  <c r="I99" i="24"/>
  <c r="P45" i="33"/>
  <c r="I100" i="24"/>
  <c r="E98" i="32"/>
  <c r="E103" i="32"/>
  <c r="E97" i="32"/>
  <c r="P50" i="33"/>
  <c r="P42" i="33"/>
  <c r="E101" i="32"/>
  <c r="M101" i="32"/>
  <c r="E96" i="24"/>
  <c r="P47" i="33"/>
  <c r="P44" i="33"/>
  <c r="I102" i="24"/>
  <c r="M97" i="32"/>
  <c r="J23" i="33"/>
  <c r="H99" i="33"/>
  <c r="D96" i="33"/>
  <c r="F20" i="33"/>
  <c r="D33" i="33"/>
  <c r="J26" i="33"/>
  <c r="H102" i="33"/>
  <c r="F31" i="33"/>
  <c r="F107" i="33" s="1"/>
  <c r="D107" i="33"/>
  <c r="M105" i="32"/>
  <c r="J25" i="33"/>
  <c r="H101" i="33"/>
  <c r="P41" i="33"/>
  <c r="M106" i="32"/>
  <c r="J97" i="32"/>
  <c r="P97" i="32" s="1"/>
  <c r="P21" i="32"/>
  <c r="J28" i="33"/>
  <c r="H104" i="33"/>
  <c r="P46" i="33"/>
  <c r="I97" i="24"/>
  <c r="N22" i="33"/>
  <c r="N98" i="33" s="1"/>
  <c r="L98" i="33"/>
  <c r="J21" i="33"/>
  <c r="H97" i="33"/>
  <c r="I103" i="24"/>
  <c r="J96" i="32"/>
  <c r="J33" i="32"/>
  <c r="P20" i="32"/>
  <c r="I104" i="24"/>
  <c r="M107" i="32"/>
  <c r="D98" i="33"/>
  <c r="F22" i="33"/>
  <c r="F98" i="33" s="1"/>
  <c r="N29" i="33"/>
  <c r="N105" i="33" s="1"/>
  <c r="L105" i="33"/>
  <c r="F29" i="33"/>
  <c r="F105" i="33" s="1"/>
  <c r="D105" i="33"/>
  <c r="N27" i="33"/>
  <c r="N103" i="33" s="1"/>
  <c r="L103" i="33"/>
  <c r="I107" i="24"/>
  <c r="L96" i="33"/>
  <c r="N20" i="33"/>
  <c r="F25" i="33"/>
  <c r="F101" i="33" s="1"/>
  <c r="D101" i="33"/>
  <c r="N25" i="33"/>
  <c r="N101" i="33" s="1"/>
  <c r="L101" i="33"/>
  <c r="H105" i="33"/>
  <c r="J29" i="33"/>
  <c r="N33" i="32"/>
  <c r="M33" i="32" s="1"/>
  <c r="N96" i="32"/>
  <c r="P30" i="32"/>
  <c r="J106" i="32"/>
  <c r="P106" i="32" s="1"/>
  <c r="P26" i="32"/>
  <c r="J102" i="32"/>
  <c r="P102" i="32" s="1"/>
  <c r="F30" i="33"/>
  <c r="F106" i="33" s="1"/>
  <c r="D106" i="33"/>
  <c r="F23" i="33"/>
  <c r="F99" i="33" s="1"/>
  <c r="D99" i="33"/>
  <c r="J100" i="32"/>
  <c r="P100" i="32" s="1"/>
  <c r="P24" i="32"/>
  <c r="M100" i="32"/>
  <c r="J103" i="32"/>
  <c r="P103" i="32" s="1"/>
  <c r="P27" i="32"/>
  <c r="E104" i="32"/>
  <c r="F24" i="33"/>
  <c r="F100" i="33" s="1"/>
  <c r="D100" i="33"/>
  <c r="N30" i="33"/>
  <c r="N106" i="33" s="1"/>
  <c r="L106" i="33"/>
  <c r="J39" i="33"/>
  <c r="H52" i="33"/>
  <c r="J30" i="33"/>
  <c r="H106" i="33"/>
  <c r="N28" i="33"/>
  <c r="N104" i="33" s="1"/>
  <c r="L104" i="33"/>
  <c r="P23" i="32"/>
  <c r="J99" i="32"/>
  <c r="P99" i="32" s="1"/>
  <c r="M103" i="32"/>
  <c r="D109" i="32"/>
  <c r="I106" i="24"/>
  <c r="F33" i="32"/>
  <c r="I101" i="24"/>
  <c r="P29" i="32"/>
  <c r="J105" i="32"/>
  <c r="P105" i="32" s="1"/>
  <c r="F27" i="33"/>
  <c r="F103" i="33" s="1"/>
  <c r="D103" i="33"/>
  <c r="D52" i="33"/>
  <c r="F39" i="33"/>
  <c r="F52" i="33" s="1"/>
  <c r="N39" i="33"/>
  <c r="N52" i="33" s="1"/>
  <c r="L52" i="33"/>
  <c r="P31" i="32"/>
  <c r="J107" i="32"/>
  <c r="P107" i="32" s="1"/>
  <c r="J22" i="33"/>
  <c r="H98" i="33"/>
  <c r="L97" i="33"/>
  <c r="N21" i="33"/>
  <c r="N97" i="33" s="1"/>
  <c r="J27" i="33"/>
  <c r="H103" i="33"/>
  <c r="F26" i="33"/>
  <c r="F102" i="33" s="1"/>
  <c r="D102" i="33"/>
  <c r="F21" i="33"/>
  <c r="F97" i="33" s="1"/>
  <c r="D97" i="33"/>
  <c r="J98" i="32"/>
  <c r="P98" i="32" s="1"/>
  <c r="P22" i="32"/>
  <c r="I105" i="24"/>
  <c r="L107" i="33"/>
  <c r="N31" i="33"/>
  <c r="N107" i="33" s="1"/>
  <c r="P49" i="33"/>
  <c r="H100" i="33"/>
  <c r="J24" i="33"/>
  <c r="L102" i="33"/>
  <c r="N26" i="33"/>
  <c r="N102" i="33" s="1"/>
  <c r="L100" i="33"/>
  <c r="N24" i="33"/>
  <c r="N100" i="33" s="1"/>
  <c r="I98" i="24"/>
  <c r="E52" i="32"/>
  <c r="J52" i="32"/>
  <c r="I52" i="32" s="1"/>
  <c r="P39" i="32"/>
  <c r="P52" i="32" s="1"/>
  <c r="J101" i="32"/>
  <c r="P101" i="32" s="1"/>
  <c r="P25" i="32"/>
  <c r="P43" i="33"/>
  <c r="H107" i="33"/>
  <c r="J31" i="33"/>
  <c r="H96" i="33"/>
  <c r="H33" i="33"/>
  <c r="J20" i="33"/>
  <c r="F28" i="33"/>
  <c r="F104" i="33" s="1"/>
  <c r="D104" i="33"/>
  <c r="J104" i="32"/>
  <c r="P28" i="32"/>
  <c r="E100" i="32"/>
  <c r="E106" i="32"/>
  <c r="E99" i="32"/>
  <c r="J48" i="34"/>
  <c r="N48" i="34"/>
  <c r="F43" i="34"/>
  <c r="F40" i="34"/>
  <c r="F48" i="34"/>
  <c r="N50" i="34"/>
  <c r="F47" i="34"/>
  <c r="J42" i="34"/>
  <c r="J47" i="34"/>
  <c r="N44" i="34"/>
  <c r="N47" i="34"/>
  <c r="F46" i="34"/>
  <c r="N40" i="34"/>
  <c r="N42" i="34"/>
  <c r="N41" i="34"/>
  <c r="J49" i="34"/>
  <c r="J50" i="34"/>
  <c r="F49" i="34"/>
  <c r="F44" i="34"/>
  <c r="N46" i="34"/>
  <c r="J45" i="34"/>
  <c r="J44" i="34"/>
  <c r="N45" i="34"/>
  <c r="F45" i="34"/>
  <c r="J43" i="34"/>
  <c r="J40" i="34"/>
  <c r="J46" i="34"/>
  <c r="F50" i="34"/>
  <c r="J41" i="34"/>
  <c r="N43" i="34"/>
  <c r="N49" i="34"/>
  <c r="F42" i="34"/>
  <c r="F41" i="34"/>
  <c r="P104" i="32" l="1"/>
  <c r="P33" i="24"/>
  <c r="H109" i="32"/>
  <c r="M52" i="32"/>
  <c r="M33" i="24"/>
  <c r="N23" i="33"/>
  <c r="N99" i="33" s="1"/>
  <c r="I28" i="36"/>
  <c r="G17" i="40" s="1"/>
  <c r="F96" i="32"/>
  <c r="F109" i="32" s="1"/>
  <c r="L109" i="32"/>
  <c r="L99" i="33"/>
  <c r="N109" i="24"/>
  <c r="M109" i="24" s="1"/>
  <c r="M104" i="32"/>
  <c r="I25" i="26"/>
  <c r="J25" i="26" s="1"/>
  <c r="F14" i="40" s="1"/>
  <c r="I21" i="26"/>
  <c r="J21" i="26" s="1"/>
  <c r="D21" i="36" s="1"/>
  <c r="I33" i="32"/>
  <c r="E109" i="24"/>
  <c r="I101" i="32"/>
  <c r="P96" i="24"/>
  <c r="P109" i="24" s="1"/>
  <c r="P113" i="24" s="1"/>
  <c r="J109" i="24"/>
  <c r="I109" i="24" s="1"/>
  <c r="N109" i="32"/>
  <c r="I19" i="26"/>
  <c r="J19" i="26" s="1"/>
  <c r="F8" i="40" s="1"/>
  <c r="I17" i="26"/>
  <c r="J17" i="26" s="1"/>
  <c r="D17" i="36" s="1"/>
  <c r="G17" i="36" s="1"/>
  <c r="E33" i="24"/>
  <c r="I27" i="26"/>
  <c r="J27" i="26" s="1"/>
  <c r="F16" i="40" s="1"/>
  <c r="I26" i="26"/>
  <c r="J26" i="26" s="1"/>
  <c r="F15" i="40" s="1"/>
  <c r="I23" i="26"/>
  <c r="I24" i="26"/>
  <c r="J24" i="26" s="1"/>
  <c r="F13" i="40" s="1"/>
  <c r="I20" i="26"/>
  <c r="J20" i="26" s="1"/>
  <c r="D20" i="36" s="1"/>
  <c r="I22" i="26"/>
  <c r="J22" i="26" s="1"/>
  <c r="J23" i="26" s="1"/>
  <c r="I18" i="26"/>
  <c r="J18" i="26" s="1"/>
  <c r="D18" i="36" s="1"/>
  <c r="G18" i="36" s="1"/>
  <c r="P50" i="34"/>
  <c r="I49" i="26"/>
  <c r="P40" i="34"/>
  <c r="I53" i="26"/>
  <c r="J53" i="26" s="1"/>
  <c r="F31" i="40" s="1"/>
  <c r="I46" i="26"/>
  <c r="J46" i="26" s="1"/>
  <c r="F24" i="40" s="1"/>
  <c r="I45" i="26"/>
  <c r="J45" i="26" s="1"/>
  <c r="F23" i="40" s="1"/>
  <c r="I48" i="26"/>
  <c r="J48" i="26" s="1"/>
  <c r="J49" i="26" s="1"/>
  <c r="I47" i="26"/>
  <c r="J47" i="26" s="1"/>
  <c r="F25" i="40" s="1"/>
  <c r="I105" i="32"/>
  <c r="I43" i="26"/>
  <c r="J43" i="26" s="1"/>
  <c r="D33" i="36" s="1"/>
  <c r="G33" i="36" s="1"/>
  <c r="I50" i="26"/>
  <c r="J50" i="26" s="1"/>
  <c r="D40" i="36" s="1"/>
  <c r="G40" i="36" s="1"/>
  <c r="P48" i="34"/>
  <c r="P46" i="34"/>
  <c r="I103" i="32"/>
  <c r="M97" i="33"/>
  <c r="I51" i="26"/>
  <c r="J51" i="26" s="1"/>
  <c r="F29" i="40" s="1"/>
  <c r="I44" i="26"/>
  <c r="J44" i="26" s="1"/>
  <c r="F22" i="40" s="1"/>
  <c r="M101" i="33"/>
  <c r="E97" i="33"/>
  <c r="P43" i="34"/>
  <c r="M100" i="33"/>
  <c r="I97" i="32"/>
  <c r="I52" i="26"/>
  <c r="J52" i="26" s="1"/>
  <c r="D42" i="36" s="1"/>
  <c r="G42" i="36" s="1"/>
  <c r="M103" i="33"/>
  <c r="E100" i="33"/>
  <c r="I99" i="32"/>
  <c r="P44" i="34"/>
  <c r="E105" i="33"/>
  <c r="P47" i="34"/>
  <c r="I107" i="32"/>
  <c r="E96" i="32"/>
  <c r="P49" i="34"/>
  <c r="M106" i="33"/>
  <c r="M98" i="33"/>
  <c r="H96" i="34"/>
  <c r="J20" i="34"/>
  <c r="H33" i="34"/>
  <c r="H106" i="34"/>
  <c r="J30" i="34"/>
  <c r="E104" i="33"/>
  <c r="N25" i="34"/>
  <c r="N101" i="34" s="1"/>
  <c r="L101" i="34"/>
  <c r="N23" i="34"/>
  <c r="N99" i="34" s="1"/>
  <c r="L99" i="34"/>
  <c r="P33" i="32"/>
  <c r="I44" i="36" s="1"/>
  <c r="G32" i="40" s="1"/>
  <c r="N31" i="34"/>
  <c r="N107" i="34" s="1"/>
  <c r="L107" i="34"/>
  <c r="J96" i="33"/>
  <c r="P20" i="33"/>
  <c r="J33" i="33"/>
  <c r="I33" i="33" s="1"/>
  <c r="J103" i="33"/>
  <c r="P103" i="33" s="1"/>
  <c r="P27" i="33"/>
  <c r="J106" i="33"/>
  <c r="P106" i="33" s="1"/>
  <c r="P30" i="33"/>
  <c r="E33" i="32"/>
  <c r="E98" i="33"/>
  <c r="H98" i="34"/>
  <c r="J22" i="34"/>
  <c r="H99" i="34"/>
  <c r="J23" i="34"/>
  <c r="L96" i="34"/>
  <c r="N20" i="34"/>
  <c r="L33" i="34"/>
  <c r="P41" i="34"/>
  <c r="F20" i="34"/>
  <c r="D96" i="34"/>
  <c r="D33" i="34"/>
  <c r="J24" i="34"/>
  <c r="H100" i="34"/>
  <c r="F27" i="34"/>
  <c r="F103" i="34" s="1"/>
  <c r="D103" i="34"/>
  <c r="J27" i="34"/>
  <c r="H103" i="34"/>
  <c r="M102" i="33"/>
  <c r="I100" i="32"/>
  <c r="E99" i="33"/>
  <c r="E101" i="33"/>
  <c r="I96" i="32"/>
  <c r="P96" i="32"/>
  <c r="P109" i="32" s="1"/>
  <c r="P113" i="32" s="1"/>
  <c r="J109" i="32"/>
  <c r="I109" i="32" s="1"/>
  <c r="J101" i="33"/>
  <c r="P25" i="33"/>
  <c r="F25" i="34"/>
  <c r="F101" i="34" s="1"/>
  <c r="D101" i="34"/>
  <c r="H109" i="33"/>
  <c r="J100" i="33"/>
  <c r="P100" i="33" s="1"/>
  <c r="P24" i="33"/>
  <c r="J52" i="33"/>
  <c r="I52" i="33" s="1"/>
  <c r="P39" i="33"/>
  <c r="P52" i="33" s="1"/>
  <c r="D52" i="34"/>
  <c r="F39" i="34"/>
  <c r="F52" i="34" s="1"/>
  <c r="F30" i="34"/>
  <c r="F106" i="34" s="1"/>
  <c r="D106" i="34"/>
  <c r="J107" i="33"/>
  <c r="P107" i="33" s="1"/>
  <c r="P31" i="33"/>
  <c r="E106" i="33"/>
  <c r="D19" i="36"/>
  <c r="G19" i="36" s="1"/>
  <c r="J98" i="33"/>
  <c r="P98" i="33" s="1"/>
  <c r="P22" i="33"/>
  <c r="N96" i="33"/>
  <c r="M96" i="33" s="1"/>
  <c r="F6" i="40"/>
  <c r="J97" i="33"/>
  <c r="P97" i="33" s="1"/>
  <c r="P21" i="33"/>
  <c r="E107" i="33"/>
  <c r="L109" i="33"/>
  <c r="D27" i="36"/>
  <c r="G27" i="36" s="1"/>
  <c r="N29" i="34"/>
  <c r="N105" i="34" s="1"/>
  <c r="L105" i="34"/>
  <c r="F21" i="34"/>
  <c r="F97" i="34" s="1"/>
  <c r="D97" i="34"/>
  <c r="L106" i="34"/>
  <c r="N30" i="34"/>
  <c r="N106" i="34" s="1"/>
  <c r="L97" i="34"/>
  <c r="N21" i="34"/>
  <c r="N97" i="34" s="1"/>
  <c r="M107" i="33"/>
  <c r="I102" i="32"/>
  <c r="J25" i="34"/>
  <c r="H101" i="34"/>
  <c r="J21" i="34"/>
  <c r="H97" i="34"/>
  <c r="D26" i="36"/>
  <c r="G26" i="36" s="1"/>
  <c r="J102" i="33"/>
  <c r="P102" i="33" s="1"/>
  <c r="P26" i="33"/>
  <c r="L100" i="34"/>
  <c r="N24" i="34"/>
  <c r="N100" i="34" s="1"/>
  <c r="N27" i="34"/>
  <c r="N103" i="34" s="1"/>
  <c r="L103" i="34"/>
  <c r="D99" i="34"/>
  <c r="F23" i="34"/>
  <c r="F99" i="34" s="1"/>
  <c r="L104" i="34"/>
  <c r="N28" i="34"/>
  <c r="N104" i="34" s="1"/>
  <c r="F24" i="34"/>
  <c r="F100" i="34" s="1"/>
  <c r="D100" i="34"/>
  <c r="M52" i="33"/>
  <c r="E109" i="32"/>
  <c r="I106" i="32"/>
  <c r="D24" i="36"/>
  <c r="G24" i="36" s="1"/>
  <c r="F96" i="33"/>
  <c r="F109" i="33" s="1"/>
  <c r="F33" i="33"/>
  <c r="I28" i="37" s="1"/>
  <c r="H17" i="40" s="1"/>
  <c r="J28" i="34"/>
  <c r="H104" i="34"/>
  <c r="L102" i="34"/>
  <c r="N26" i="34"/>
  <c r="N102" i="34" s="1"/>
  <c r="J39" i="34"/>
  <c r="H52" i="34"/>
  <c r="F9" i="40"/>
  <c r="D109" i="33"/>
  <c r="D107" i="34"/>
  <c r="F31" i="34"/>
  <c r="F107" i="34" s="1"/>
  <c r="D105" i="34"/>
  <c r="F29" i="34"/>
  <c r="F105" i="34" s="1"/>
  <c r="F22" i="34"/>
  <c r="F98" i="34" s="1"/>
  <c r="D98" i="34"/>
  <c r="L98" i="34"/>
  <c r="N22" i="34"/>
  <c r="N98" i="34" s="1"/>
  <c r="N39" i="34"/>
  <c r="N52" i="34" s="1"/>
  <c r="L52" i="34"/>
  <c r="D22" i="36"/>
  <c r="J104" i="33"/>
  <c r="P104" i="33" s="1"/>
  <c r="P28" i="33"/>
  <c r="I104" i="32"/>
  <c r="J31" i="34"/>
  <c r="H107" i="34"/>
  <c r="H102" i="34"/>
  <c r="J26" i="34"/>
  <c r="P45" i="34"/>
  <c r="P42" i="34"/>
  <c r="J29" i="34"/>
  <c r="H105" i="34"/>
  <c r="E52" i="33"/>
  <c r="M96" i="32"/>
  <c r="F28" i="34"/>
  <c r="F104" i="34" s="1"/>
  <c r="D104" i="34"/>
  <c r="D102" i="34"/>
  <c r="F26" i="34"/>
  <c r="F102" i="34" s="1"/>
  <c r="I98" i="32"/>
  <c r="E102" i="33"/>
  <c r="E103" i="33"/>
  <c r="M104" i="33"/>
  <c r="J105" i="33"/>
  <c r="P105" i="33" s="1"/>
  <c r="P29" i="33"/>
  <c r="M105" i="33"/>
  <c r="P23" i="33"/>
  <c r="J99" i="33"/>
  <c r="M99" i="33" l="1"/>
  <c r="N33" i="33"/>
  <c r="M33" i="33" s="1"/>
  <c r="M109" i="32"/>
  <c r="D34" i="36"/>
  <c r="G34" i="36" s="1"/>
  <c r="F11" i="40"/>
  <c r="F12" i="40" s="1"/>
  <c r="D25" i="36"/>
  <c r="G25" i="36" s="1"/>
  <c r="F10" i="40"/>
  <c r="F7" i="40"/>
  <c r="D41" i="36"/>
  <c r="G41" i="36" s="1"/>
  <c r="F26" i="40"/>
  <c r="F27" i="40" s="1"/>
  <c r="D38" i="36"/>
  <c r="D36" i="36"/>
  <c r="D43" i="36"/>
  <c r="G43" i="36" s="1"/>
  <c r="F21" i="40"/>
  <c r="D35" i="36"/>
  <c r="G35" i="36" s="1"/>
  <c r="F28" i="40"/>
  <c r="D37" i="36"/>
  <c r="E107" i="34"/>
  <c r="E52" i="34"/>
  <c r="E96" i="33"/>
  <c r="M101" i="34"/>
  <c r="F30" i="40"/>
  <c r="E105" i="34"/>
  <c r="E102" i="34"/>
  <c r="E109" i="33"/>
  <c r="M100" i="34"/>
  <c r="I104" i="33"/>
  <c r="I106" i="33"/>
  <c r="M98" i="34"/>
  <c r="M104" i="34"/>
  <c r="I103" i="33"/>
  <c r="M102" i="34"/>
  <c r="I102" i="33"/>
  <c r="I107" i="33"/>
  <c r="E103" i="34"/>
  <c r="F41" i="35"/>
  <c r="F31" i="35"/>
  <c r="N28" i="35"/>
  <c r="M107" i="34"/>
  <c r="J27" i="35"/>
  <c r="F29" i="35"/>
  <c r="F30" i="35"/>
  <c r="N50" i="35"/>
  <c r="J46" i="35"/>
  <c r="F46" i="35"/>
  <c r="F49" i="35"/>
  <c r="J48" i="35"/>
  <c r="N23" i="35"/>
  <c r="E98" i="34"/>
  <c r="E33" i="33"/>
  <c r="J97" i="34"/>
  <c r="P97" i="34" s="1"/>
  <c r="P21" i="34"/>
  <c r="M105" i="34"/>
  <c r="N96" i="34"/>
  <c r="N33" i="34"/>
  <c r="M33" i="34" s="1"/>
  <c r="N47" i="35"/>
  <c r="J102" i="34"/>
  <c r="P102" i="34" s="1"/>
  <c r="P26" i="34"/>
  <c r="L109" i="34"/>
  <c r="J26" i="35"/>
  <c r="J24" i="35"/>
  <c r="F50" i="35"/>
  <c r="N39" i="35"/>
  <c r="J104" i="34"/>
  <c r="P104" i="34" s="1"/>
  <c r="P28" i="34"/>
  <c r="J101" i="34"/>
  <c r="P101" i="34" s="1"/>
  <c r="P25" i="34"/>
  <c r="J99" i="34"/>
  <c r="P99" i="34" s="1"/>
  <c r="P23" i="34"/>
  <c r="N48" i="35"/>
  <c r="N24" i="35"/>
  <c r="F43" i="35"/>
  <c r="N31" i="35"/>
  <c r="N40" i="35"/>
  <c r="J21" i="35"/>
  <c r="F25" i="35"/>
  <c r="P31" i="34"/>
  <c r="J107" i="34"/>
  <c r="P107" i="34" s="1"/>
  <c r="E99" i="34"/>
  <c r="I97" i="33"/>
  <c r="J98" i="34"/>
  <c r="P22" i="34"/>
  <c r="M99" i="34"/>
  <c r="N42" i="35"/>
  <c r="F21" i="35"/>
  <c r="F27" i="35"/>
  <c r="J50" i="35"/>
  <c r="J25" i="35"/>
  <c r="F22" i="35"/>
  <c r="L96" i="35"/>
  <c r="N20" i="35"/>
  <c r="L33" i="35"/>
  <c r="J45" i="35"/>
  <c r="E104" i="34"/>
  <c r="M103" i="34"/>
  <c r="J22" i="35"/>
  <c r="J40" i="35"/>
  <c r="J103" i="34"/>
  <c r="P103" i="34" s="1"/>
  <c r="P27" i="34"/>
  <c r="N43" i="35"/>
  <c r="N22" i="35"/>
  <c r="H96" i="35"/>
  <c r="J20" i="35"/>
  <c r="H33" i="35"/>
  <c r="N41" i="35"/>
  <c r="N29" i="35"/>
  <c r="N27" i="35"/>
  <c r="F48" i="35"/>
  <c r="F23" i="35"/>
  <c r="F45" i="35"/>
  <c r="I105" i="33"/>
  <c r="J49" i="35"/>
  <c r="J44" i="35"/>
  <c r="J39" i="35"/>
  <c r="N44" i="35"/>
  <c r="N21" i="35"/>
  <c r="J41" i="35"/>
  <c r="I99" i="33"/>
  <c r="P99" i="33"/>
  <c r="G22" i="36"/>
  <c r="D23" i="36"/>
  <c r="E101" i="34"/>
  <c r="J30" i="35"/>
  <c r="F42" i="35"/>
  <c r="N46" i="35"/>
  <c r="J47" i="35"/>
  <c r="I98" i="33"/>
  <c r="P24" i="34"/>
  <c r="J100" i="34"/>
  <c r="P100" i="34" s="1"/>
  <c r="P30" i="34"/>
  <c r="J106" i="34"/>
  <c r="P106" i="34" s="1"/>
  <c r="N45" i="35"/>
  <c r="J42" i="35"/>
  <c r="M97" i="34"/>
  <c r="I100" i="33"/>
  <c r="F28" i="35"/>
  <c r="J43" i="35"/>
  <c r="J23" i="35"/>
  <c r="J29" i="35"/>
  <c r="J28" i="35"/>
  <c r="F44" i="35"/>
  <c r="N49" i="35"/>
  <c r="M52" i="34"/>
  <c r="E100" i="34"/>
  <c r="I101" i="33"/>
  <c r="P101" i="33"/>
  <c r="D109" i="34"/>
  <c r="F40" i="35"/>
  <c r="N26" i="35"/>
  <c r="J31" i="35"/>
  <c r="N25" i="35"/>
  <c r="F26" i="35"/>
  <c r="F24" i="35"/>
  <c r="M106" i="34"/>
  <c r="P96" i="33"/>
  <c r="N109" i="33"/>
  <c r="M109" i="33" s="1"/>
  <c r="F96" i="34"/>
  <c r="F109" i="34" s="1"/>
  <c r="F33" i="34"/>
  <c r="I28" i="38" s="1"/>
  <c r="I17" i="40" s="1"/>
  <c r="P33" i="33"/>
  <c r="I44" i="37" s="1"/>
  <c r="H32" i="40" s="1"/>
  <c r="P20" i="34"/>
  <c r="J96" i="34"/>
  <c r="J33" i="34"/>
  <c r="I33" i="34" s="1"/>
  <c r="N30" i="35"/>
  <c r="F39" i="35"/>
  <c r="F47" i="35"/>
  <c r="F20" i="35"/>
  <c r="D33" i="35"/>
  <c r="D96" i="35"/>
  <c r="J105" i="34"/>
  <c r="P105" i="34" s="1"/>
  <c r="P29" i="34"/>
  <c r="P39" i="34"/>
  <c r="P52" i="34" s="1"/>
  <c r="J52" i="34"/>
  <c r="I52" i="34" s="1"/>
  <c r="G38" i="36"/>
  <c r="D39" i="36"/>
  <c r="E97" i="34"/>
  <c r="E106" i="34"/>
  <c r="I96" i="33"/>
  <c r="J109" i="33"/>
  <c r="I109" i="33" s="1"/>
  <c r="H109" i="34"/>
  <c r="P47" i="35" l="1"/>
  <c r="D106" i="35"/>
  <c r="F106" i="35"/>
  <c r="F98" i="35"/>
  <c r="D98" i="35"/>
  <c r="H107" i="35"/>
  <c r="P41" i="35"/>
  <c r="H106" i="35"/>
  <c r="P44" i="35"/>
  <c r="N98" i="35"/>
  <c r="F100" i="35"/>
  <c r="L97" i="35"/>
  <c r="P43" i="35"/>
  <c r="L98" i="35"/>
  <c r="J96" i="35"/>
  <c r="I96" i="35" s="1"/>
  <c r="I97" i="34"/>
  <c r="P48" i="35"/>
  <c r="N104" i="35"/>
  <c r="D103" i="35"/>
  <c r="L107" i="35"/>
  <c r="N106" i="35"/>
  <c r="L102" i="35"/>
  <c r="H105" i="35"/>
  <c r="N103" i="35"/>
  <c r="I101" i="34"/>
  <c r="L105" i="35"/>
  <c r="N100" i="35"/>
  <c r="I104" i="34"/>
  <c r="H99" i="35"/>
  <c r="F104" i="35"/>
  <c r="P109" i="33"/>
  <c r="P113" i="33" s="1"/>
  <c r="P49" i="35"/>
  <c r="D102" i="35"/>
  <c r="L101" i="35"/>
  <c r="F99" i="35"/>
  <c r="H103" i="35"/>
  <c r="L106" i="35"/>
  <c r="N101" i="35"/>
  <c r="H104" i="35"/>
  <c r="D99" i="35"/>
  <c r="F103" i="35"/>
  <c r="L52" i="35"/>
  <c r="M96" i="34"/>
  <c r="N109" i="34"/>
  <c r="M109" i="34" s="1"/>
  <c r="P42" i="35"/>
  <c r="J106" i="35"/>
  <c r="P30" i="35"/>
  <c r="P45" i="35"/>
  <c r="I99" i="34"/>
  <c r="N52" i="35"/>
  <c r="I100" i="34"/>
  <c r="I107" i="34"/>
  <c r="I96" i="34"/>
  <c r="P96" i="34"/>
  <c r="J109" i="34"/>
  <c r="I109" i="34" s="1"/>
  <c r="J33" i="35"/>
  <c r="I33" i="35" s="1"/>
  <c r="J107" i="35"/>
  <c r="P31" i="35"/>
  <c r="P33" i="34"/>
  <c r="I44" i="38" s="1"/>
  <c r="I32" i="40" s="1"/>
  <c r="J104" i="35"/>
  <c r="P28" i="35"/>
  <c r="P20" i="35"/>
  <c r="N96" i="35"/>
  <c r="M96" i="35" s="1"/>
  <c r="N33" i="35"/>
  <c r="M33" i="35" s="1"/>
  <c r="I98" i="34"/>
  <c r="P98" i="34"/>
  <c r="H100" i="35"/>
  <c r="D105" i="35"/>
  <c r="J105" i="35"/>
  <c r="P29" i="35"/>
  <c r="J100" i="35"/>
  <c r="P24" i="35"/>
  <c r="F105" i="35"/>
  <c r="N102" i="35"/>
  <c r="L100" i="35"/>
  <c r="H102" i="35"/>
  <c r="N99" i="35"/>
  <c r="P27" i="35"/>
  <c r="J103" i="35"/>
  <c r="P23" i="35"/>
  <c r="J99" i="35"/>
  <c r="P26" i="35"/>
  <c r="J102" i="35"/>
  <c r="L99" i="35"/>
  <c r="J101" i="35"/>
  <c r="P25" i="35"/>
  <c r="E109" i="34"/>
  <c r="H101" i="35"/>
  <c r="F101" i="35"/>
  <c r="E96" i="34"/>
  <c r="N97" i="35"/>
  <c r="P40" i="35"/>
  <c r="P50" i="35"/>
  <c r="D101" i="35"/>
  <c r="F33" i="35"/>
  <c r="F96" i="35"/>
  <c r="P21" i="35"/>
  <c r="J97" i="35"/>
  <c r="L104" i="35"/>
  <c r="I105" i="34"/>
  <c r="D104" i="35"/>
  <c r="L103" i="35"/>
  <c r="H98" i="35"/>
  <c r="H97" i="35"/>
  <c r="D107" i="35"/>
  <c r="I106" i="34"/>
  <c r="J98" i="35"/>
  <c r="P22" i="35"/>
  <c r="F107" i="35"/>
  <c r="D52" i="35"/>
  <c r="D100" i="35"/>
  <c r="E33" i="34"/>
  <c r="H52" i="35"/>
  <c r="N105" i="35"/>
  <c r="I103" i="34"/>
  <c r="F97" i="35"/>
  <c r="P46" i="35"/>
  <c r="F52" i="35"/>
  <c r="F102" i="35"/>
  <c r="J52" i="35"/>
  <c r="P39" i="35"/>
  <c r="D97" i="35"/>
  <c r="N107" i="35"/>
  <c r="I102" i="34"/>
  <c r="E106" i="35" l="1"/>
  <c r="E98" i="35"/>
  <c r="E100" i="35"/>
  <c r="I107" i="35"/>
  <c r="M98" i="35"/>
  <c r="E103" i="35"/>
  <c r="E52" i="35"/>
  <c r="I28" i="39"/>
  <c r="J17" i="40" s="1"/>
  <c r="P98" i="35"/>
  <c r="M97" i="35"/>
  <c r="P103" i="35"/>
  <c r="M101" i="35"/>
  <c r="M107" i="35"/>
  <c r="E97" i="35"/>
  <c r="I52" i="35"/>
  <c r="P104" i="35"/>
  <c r="M105" i="35"/>
  <c r="I99" i="35"/>
  <c r="I103" i="35"/>
  <c r="M102" i="35"/>
  <c r="J109" i="35"/>
  <c r="P102" i="35"/>
  <c r="E99" i="35"/>
  <c r="M106" i="35"/>
  <c r="P106" i="35"/>
  <c r="P101" i="35"/>
  <c r="P100" i="35"/>
  <c r="M104" i="35"/>
  <c r="P105" i="35"/>
  <c r="E102" i="35"/>
  <c r="I98" i="35"/>
  <c r="M103" i="35"/>
  <c r="I97" i="35"/>
  <c r="M100" i="35"/>
  <c r="E104" i="35"/>
  <c r="H109" i="35"/>
  <c r="F109" i="35"/>
  <c r="E101" i="35"/>
  <c r="M99" i="35"/>
  <c r="L109" i="35"/>
  <c r="P52" i="35"/>
  <c r="I104" i="35"/>
  <c r="P99" i="35"/>
  <c r="E107" i="35"/>
  <c r="E105" i="35"/>
  <c r="P107" i="35"/>
  <c r="E33" i="35"/>
  <c r="I100" i="35"/>
  <c r="P109" i="34"/>
  <c r="P113" i="34" s="1"/>
  <c r="M52" i="35"/>
  <c r="I101" i="35"/>
  <c r="I102" i="35"/>
  <c r="E96" i="35"/>
  <c r="N109" i="35"/>
  <c r="D109" i="35"/>
  <c r="I105" i="35"/>
  <c r="P33" i="35"/>
  <c r="I106" i="35"/>
  <c r="P97" i="35"/>
  <c r="P96" i="35"/>
  <c r="E109" i="35" l="1"/>
  <c r="I44" i="39"/>
  <c r="J32" i="40" s="1"/>
  <c r="I109" i="35"/>
  <c r="P109" i="35"/>
  <c r="P113" i="35" s="1"/>
  <c r="M109" i="35"/>
  <c r="E24" i="28" l="1"/>
  <c r="F24" i="28"/>
  <c r="E26" i="28"/>
  <c r="F26" i="28"/>
  <c r="F37" i="36" s="1"/>
  <c r="G37" i="36" s="1"/>
  <c r="F20" i="36"/>
  <c r="G20" i="36" s="1"/>
  <c r="F21" i="36"/>
  <c r="G21" i="36"/>
  <c r="F36" i="36"/>
  <c r="G36" i="36"/>
  <c r="E45" i="50"/>
  <c r="E56" i="50" s="1"/>
  <c r="E62" i="50" s="1"/>
  <c r="G28" i="36" l="1"/>
  <c r="H20" i="36"/>
  <c r="I20" i="36" s="1"/>
  <c r="J20" i="36" s="1"/>
  <c r="G44" i="36"/>
  <c r="G9" i="40" l="1"/>
  <c r="D20" i="37"/>
  <c r="G20" i="37" s="1"/>
  <c r="H33" i="36"/>
  <c r="I33" i="36" s="1"/>
  <c r="J33" i="36" s="1"/>
  <c r="H41" i="36"/>
  <c r="I41" i="36" s="1"/>
  <c r="J41" i="36" s="1"/>
  <c r="H42" i="36"/>
  <c r="I42" i="36" s="1"/>
  <c r="J42" i="36" s="1"/>
  <c r="H43" i="36"/>
  <c r="I43" i="36" s="1"/>
  <c r="J43" i="36" s="1"/>
  <c r="H34" i="36"/>
  <c r="I34" i="36" s="1"/>
  <c r="J34" i="36" s="1"/>
  <c r="H38" i="36"/>
  <c r="I38" i="36" s="1"/>
  <c r="J38" i="36" s="1"/>
  <c r="H35" i="36"/>
  <c r="I35" i="36" s="1"/>
  <c r="J35" i="36" s="1"/>
  <c r="H39" i="36"/>
  <c r="I39" i="36" s="1"/>
  <c r="H44" i="36"/>
  <c r="H40" i="36"/>
  <c r="I40" i="36" s="1"/>
  <c r="J40" i="36" s="1"/>
  <c r="H36" i="36"/>
  <c r="I36" i="36" s="1"/>
  <c r="J36" i="36" s="1"/>
  <c r="H37" i="36"/>
  <c r="I37" i="36" s="1"/>
  <c r="H27" i="36"/>
  <c r="I27" i="36" s="1"/>
  <c r="J27" i="36" s="1"/>
  <c r="H18" i="36"/>
  <c r="I18" i="36" s="1"/>
  <c r="J18" i="36" s="1"/>
  <c r="H22" i="36"/>
  <c r="I22" i="36" s="1"/>
  <c r="J22" i="36" s="1"/>
  <c r="H19" i="36"/>
  <c r="I19" i="36" s="1"/>
  <c r="J19" i="36" s="1"/>
  <c r="H23" i="36"/>
  <c r="I23" i="36" s="1"/>
  <c r="H28" i="36"/>
  <c r="H24" i="36"/>
  <c r="I24" i="36" s="1"/>
  <c r="J24" i="36" s="1"/>
  <c r="H25" i="36"/>
  <c r="I25" i="36" s="1"/>
  <c r="J25" i="36" s="1"/>
  <c r="H26" i="36"/>
  <c r="I26" i="36" s="1"/>
  <c r="J26" i="36" s="1"/>
  <c r="H17" i="36"/>
  <c r="I17" i="36" s="1"/>
  <c r="J17" i="36" s="1"/>
  <c r="H21" i="36"/>
  <c r="I21" i="36" s="1"/>
  <c r="J21" i="36" s="1"/>
  <c r="G16" i="40" l="1"/>
  <c r="D27" i="37"/>
  <c r="G27" i="37" s="1"/>
  <c r="G28" i="40"/>
  <c r="D40" i="37"/>
  <c r="G40" i="37" s="1"/>
  <c r="G6" i="40"/>
  <c r="D17" i="37"/>
  <c r="G17" i="37" s="1"/>
  <c r="D43" i="37"/>
  <c r="G43" i="37" s="1"/>
  <c r="G31" i="40"/>
  <c r="G21" i="40"/>
  <c r="D33" i="37"/>
  <c r="G33" i="37" s="1"/>
  <c r="D18" i="37"/>
  <c r="G18" i="37" s="1"/>
  <c r="G7" i="40"/>
  <c r="G24" i="40"/>
  <c r="D36" i="37"/>
  <c r="G36" i="37" s="1"/>
  <c r="D21" i="37"/>
  <c r="G21" i="37" s="1"/>
  <c r="G10" i="40"/>
  <c r="G26" i="40"/>
  <c r="G27" i="40" s="1"/>
  <c r="J39" i="36"/>
  <c r="D38" i="37"/>
  <c r="D25" i="37"/>
  <c r="G25" i="37" s="1"/>
  <c r="G14" i="40"/>
  <c r="D42" i="37"/>
  <c r="G42" i="37" s="1"/>
  <c r="G30" i="40"/>
  <c r="G25" i="40"/>
  <c r="D37" i="37"/>
  <c r="G37" i="37" s="1"/>
  <c r="G23" i="40"/>
  <c r="D35" i="37"/>
  <c r="G35" i="37" s="1"/>
  <c r="D26" i="37"/>
  <c r="G26" i="37" s="1"/>
  <c r="G15" i="40"/>
  <c r="D34" i="37"/>
  <c r="G34" i="37" s="1"/>
  <c r="G22" i="40"/>
  <c r="G13" i="40"/>
  <c r="D24" i="37"/>
  <c r="G24" i="37" s="1"/>
  <c r="G29" i="40"/>
  <c r="D41" i="37"/>
  <c r="G41" i="37" s="1"/>
  <c r="G8" i="40"/>
  <c r="D19" i="37"/>
  <c r="G19" i="37" s="1"/>
  <c r="D22" i="37"/>
  <c r="J23" i="36"/>
  <c r="G11" i="40"/>
  <c r="G12" i="40" s="1"/>
  <c r="H21" i="37" l="1"/>
  <c r="I21" i="37" s="1"/>
  <c r="J21" i="37" s="1"/>
  <c r="H26" i="37"/>
  <c r="I26" i="37" s="1"/>
  <c r="J26" i="37" s="1"/>
  <c r="H18" i="37"/>
  <c r="I18" i="37" s="1"/>
  <c r="J18" i="37" s="1"/>
  <c r="H25" i="37"/>
  <c r="I25" i="37" s="1"/>
  <c r="J25" i="37" s="1"/>
  <c r="D39" i="37"/>
  <c r="G38" i="37"/>
  <c r="H27" i="37"/>
  <c r="I27" i="37" s="1"/>
  <c r="J27" i="37" s="1"/>
  <c r="G22" i="37"/>
  <c r="D23" i="37"/>
  <c r="G28" i="37"/>
  <c r="H17" i="37"/>
  <c r="I17" i="37" s="1"/>
  <c r="J17" i="37" s="1"/>
  <c r="H24" i="37"/>
  <c r="I24" i="37" s="1"/>
  <c r="J24" i="37" s="1"/>
  <c r="H16" i="40" l="1"/>
  <c r="D27" i="38"/>
  <c r="G27" i="38" s="1"/>
  <c r="H6" i="40"/>
  <c r="D17" i="38"/>
  <c r="G17" i="38" s="1"/>
  <c r="H38" i="37"/>
  <c r="I38" i="37" s="1"/>
  <c r="J38" i="37" s="1"/>
  <c r="D18" i="38"/>
  <c r="G18" i="38" s="1"/>
  <c r="H7" i="40"/>
  <c r="D26" i="38"/>
  <c r="G26" i="38" s="1"/>
  <c r="H15" i="40"/>
  <c r="D25" i="38"/>
  <c r="G25" i="38" s="1"/>
  <c r="H14" i="40"/>
  <c r="H13" i="40"/>
  <c r="D24" i="38"/>
  <c r="G24" i="38" s="1"/>
  <c r="H10" i="40"/>
  <c r="D21" i="38"/>
  <c r="G21" i="38" s="1"/>
  <c r="H28" i="37"/>
  <c r="H23" i="37"/>
  <c r="I23" i="37" s="1"/>
  <c r="H20" i="37"/>
  <c r="I20" i="37" s="1"/>
  <c r="J20" i="37" s="1"/>
  <c r="G44" i="37"/>
  <c r="H19" i="37"/>
  <c r="I19" i="37" s="1"/>
  <c r="J19" i="37" s="1"/>
  <c r="H22" i="37"/>
  <c r="I22" i="37" s="1"/>
  <c r="J22" i="37" s="1"/>
  <c r="J39" i="37" l="1"/>
  <c r="D39" i="38" s="1"/>
  <c r="H26" i="40"/>
  <c r="H27" i="40" s="1"/>
  <c r="D38" i="38"/>
  <c r="G38" i="38" s="1"/>
  <c r="D19" i="38"/>
  <c r="G19" i="38" s="1"/>
  <c r="H8" i="40"/>
  <c r="D22" i="38"/>
  <c r="G22" i="38" s="1"/>
  <c r="J23" i="37"/>
  <c r="D23" i="38" s="1"/>
  <c r="H11" i="40"/>
  <c r="H12" i="40" s="1"/>
  <c r="G28" i="38"/>
  <c r="H39" i="37"/>
  <c r="I39" i="37" s="1"/>
  <c r="H37" i="37"/>
  <c r="I37" i="37" s="1"/>
  <c r="J37" i="37" s="1"/>
  <c r="H33" i="37"/>
  <c r="I33" i="37" s="1"/>
  <c r="J33" i="37" s="1"/>
  <c r="H43" i="37"/>
  <c r="I43" i="37" s="1"/>
  <c r="J43" i="37" s="1"/>
  <c r="H42" i="37"/>
  <c r="I42" i="37" s="1"/>
  <c r="J42" i="37" s="1"/>
  <c r="H34" i="37"/>
  <c r="I34" i="37" s="1"/>
  <c r="J34" i="37" s="1"/>
  <c r="H35" i="37"/>
  <c r="I35" i="37" s="1"/>
  <c r="J35" i="37" s="1"/>
  <c r="H36" i="37"/>
  <c r="I36" i="37" s="1"/>
  <c r="J36" i="37" s="1"/>
  <c r="H41" i="37"/>
  <c r="I41" i="37" s="1"/>
  <c r="J41" i="37" s="1"/>
  <c r="H40" i="37"/>
  <c r="I40" i="37" s="1"/>
  <c r="J40" i="37" s="1"/>
  <c r="H9" i="40"/>
  <c r="D20" i="38"/>
  <c r="G20" i="38" s="1"/>
  <c r="H28" i="38" l="1"/>
  <c r="H23" i="38"/>
  <c r="I23" i="38" s="1"/>
  <c r="H20" i="38"/>
  <c r="I20" i="38" s="1"/>
  <c r="J20" i="38" s="1"/>
  <c r="H28" i="40"/>
  <c r="D40" i="38"/>
  <c r="G40" i="38" s="1"/>
  <c r="H19" i="38"/>
  <c r="I19" i="38" s="1"/>
  <c r="J19" i="38" s="1"/>
  <c r="H30" i="40"/>
  <c r="D42" i="38"/>
  <c r="G42" i="38" s="1"/>
  <c r="H26" i="38"/>
  <c r="I26" i="38" s="1"/>
  <c r="J26" i="38" s="1"/>
  <c r="H29" i="40"/>
  <c r="D41" i="38"/>
  <c r="G41" i="38" s="1"/>
  <c r="D36" i="38"/>
  <c r="G36" i="38" s="1"/>
  <c r="H24" i="40"/>
  <c r="D34" i="38"/>
  <c r="G34" i="38" s="1"/>
  <c r="H22" i="40"/>
  <c r="H21" i="38"/>
  <c r="I21" i="38" s="1"/>
  <c r="J21" i="38" s="1"/>
  <c r="D43" i="38"/>
  <c r="G43" i="38" s="1"/>
  <c r="H31" i="40"/>
  <c r="H25" i="40"/>
  <c r="D37" i="38"/>
  <c r="G37" i="38" s="1"/>
  <c r="H17" i="38"/>
  <c r="I17" i="38" s="1"/>
  <c r="J17" i="38" s="1"/>
  <c r="H22" i="38"/>
  <c r="I22" i="38" s="1"/>
  <c r="J22" i="38" s="1"/>
  <c r="H27" i="38"/>
  <c r="I27" i="38" s="1"/>
  <c r="J27" i="38" s="1"/>
  <c r="H23" i="40"/>
  <c r="D35" i="38"/>
  <c r="G35" i="38" s="1"/>
  <c r="H18" i="38"/>
  <c r="I18" i="38" s="1"/>
  <c r="J18" i="38" s="1"/>
  <c r="H24" i="38"/>
  <c r="I24" i="38" s="1"/>
  <c r="J24" i="38" s="1"/>
  <c r="D33" i="38"/>
  <c r="G33" i="38" s="1"/>
  <c r="H21" i="40"/>
  <c r="H25" i="38"/>
  <c r="I25" i="38" s="1"/>
  <c r="J25" i="38" s="1"/>
  <c r="D25" i="39" l="1"/>
  <c r="G25" i="39" s="1"/>
  <c r="I14" i="40"/>
  <c r="D18" i="39"/>
  <c r="G18" i="39" s="1"/>
  <c r="I7" i="40"/>
  <c r="D17" i="39"/>
  <c r="G17" i="39" s="1"/>
  <c r="I6" i="40"/>
  <c r="I9" i="40"/>
  <c r="D20" i="39"/>
  <c r="G20" i="39" s="1"/>
  <c r="D21" i="39"/>
  <c r="G21" i="39" s="1"/>
  <c r="I10" i="40"/>
  <c r="D26" i="39"/>
  <c r="G26" i="39" s="1"/>
  <c r="I15" i="40"/>
  <c r="I8" i="40"/>
  <c r="D19" i="39"/>
  <c r="G19" i="39" s="1"/>
  <c r="G44" i="38"/>
  <c r="H36" i="38" s="1"/>
  <c r="I36" i="38" s="1"/>
  <c r="J36" i="38" s="1"/>
  <c r="I13" i="40"/>
  <c r="D24" i="39"/>
  <c r="G24" i="39" s="1"/>
  <c r="H35" i="38"/>
  <c r="I35" i="38" s="1"/>
  <c r="J35" i="38" s="1"/>
  <c r="I16" i="40"/>
  <c r="D27" i="39"/>
  <c r="G27" i="39" s="1"/>
  <c r="D22" i="39"/>
  <c r="G22" i="39" s="1"/>
  <c r="I11" i="40"/>
  <c r="I12" i="40" s="1"/>
  <c r="J23" i="38"/>
  <c r="D23" i="39" s="1"/>
  <c r="H40" i="38"/>
  <c r="I40" i="38" s="1"/>
  <c r="J40" i="38" s="1"/>
  <c r="H43" i="38"/>
  <c r="I43" i="38" s="1"/>
  <c r="J43" i="38" s="1"/>
  <c r="H42" i="38" l="1"/>
  <c r="I42" i="38" s="1"/>
  <c r="J42" i="38" s="1"/>
  <c r="I30" i="40" s="1"/>
  <c r="H41" i="38"/>
  <c r="I41" i="38" s="1"/>
  <c r="J41" i="38" s="1"/>
  <c r="H34" i="38"/>
  <c r="I34" i="38" s="1"/>
  <c r="J34" i="38" s="1"/>
  <c r="I22" i="40" s="1"/>
  <c r="D36" i="39"/>
  <c r="G36" i="39" s="1"/>
  <c r="I24" i="40"/>
  <c r="I28" i="40"/>
  <c r="D40" i="39"/>
  <c r="G40" i="39" s="1"/>
  <c r="D35" i="39"/>
  <c r="G35" i="39" s="1"/>
  <c r="I23" i="40"/>
  <c r="H27" i="39"/>
  <c r="I27" i="39" s="1"/>
  <c r="J27" i="39" s="1"/>
  <c r="J16" i="40" s="1"/>
  <c r="H20" i="39"/>
  <c r="I20" i="39" s="1"/>
  <c r="J20" i="39" s="1"/>
  <c r="J9" i="40" s="1"/>
  <c r="H39" i="38"/>
  <c r="I39" i="38" s="1"/>
  <c r="H38" i="38"/>
  <c r="I38" i="38" s="1"/>
  <c r="J38" i="38" s="1"/>
  <c r="H33" i="38"/>
  <c r="I33" i="38" s="1"/>
  <c r="J33" i="38" s="1"/>
  <c r="I31" i="40"/>
  <c r="D43" i="39"/>
  <c r="G43" i="39" s="1"/>
  <c r="I29" i="40"/>
  <c r="D41" i="39"/>
  <c r="G41" i="39" s="1"/>
  <c r="G28" i="39"/>
  <c r="H19" i="39" s="1"/>
  <c r="I19" i="39" s="1"/>
  <c r="J19" i="39" s="1"/>
  <c r="J8" i="40" s="1"/>
  <c r="H18" i="39"/>
  <c r="I18" i="39" s="1"/>
  <c r="J18" i="39" s="1"/>
  <c r="J7" i="40" s="1"/>
  <c r="H37" i="38"/>
  <c r="I37" i="38" s="1"/>
  <c r="J37" i="38" s="1"/>
  <c r="H25" i="39"/>
  <c r="I25" i="39" s="1"/>
  <c r="J25" i="39" s="1"/>
  <c r="J14" i="40" s="1"/>
  <c r="D34" i="39" l="1"/>
  <c r="G34" i="39" s="1"/>
  <c r="D42" i="39"/>
  <c r="G42" i="39" s="1"/>
  <c r="H17" i="39"/>
  <c r="I17" i="39" s="1"/>
  <c r="J17" i="39" s="1"/>
  <c r="J6" i="40" s="1"/>
  <c r="H26" i="39"/>
  <c r="I26" i="39" s="1"/>
  <c r="J26" i="39" s="1"/>
  <c r="J15" i="40" s="1"/>
  <c r="J39" i="38"/>
  <c r="D39" i="39" s="1"/>
  <c r="D38" i="39"/>
  <c r="G38" i="39" s="1"/>
  <c r="I26" i="40"/>
  <c r="I27" i="40" s="1"/>
  <c r="D37" i="39"/>
  <c r="G37" i="39" s="1"/>
  <c r="I25" i="40"/>
  <c r="H28" i="39"/>
  <c r="H23" i="39"/>
  <c r="I23" i="39" s="1"/>
  <c r="H24" i="39"/>
  <c r="I24" i="39" s="1"/>
  <c r="J24" i="39" s="1"/>
  <c r="J13" i="40" s="1"/>
  <c r="H21" i="39"/>
  <c r="I21" i="39" s="1"/>
  <c r="J21" i="39" s="1"/>
  <c r="J10" i="40" s="1"/>
  <c r="H22" i="39"/>
  <c r="I22" i="39" s="1"/>
  <c r="J22" i="39" s="1"/>
  <c r="D33" i="39"/>
  <c r="G33" i="39" s="1"/>
  <c r="I21" i="40"/>
  <c r="H38" i="39" l="1"/>
  <c r="I38" i="39" s="1"/>
  <c r="J38" i="39" s="1"/>
  <c r="G44" i="39"/>
  <c r="J11" i="40"/>
  <c r="J12" i="40" s="1"/>
  <c r="J23" i="39"/>
  <c r="J39" i="39" l="1"/>
  <c r="J26" i="40"/>
  <c r="J27" i="40" s="1"/>
  <c r="H39" i="39"/>
  <c r="I39" i="39" s="1"/>
  <c r="H36" i="39"/>
  <c r="I36" i="39" s="1"/>
  <c r="J36" i="39" s="1"/>
  <c r="J24" i="40" s="1"/>
  <c r="H40" i="39"/>
  <c r="I40" i="39" s="1"/>
  <c r="J40" i="39" s="1"/>
  <c r="J28" i="40" s="1"/>
  <c r="H34" i="39"/>
  <c r="I34" i="39" s="1"/>
  <c r="J34" i="39" s="1"/>
  <c r="J22" i="40" s="1"/>
  <c r="H41" i="39"/>
  <c r="I41" i="39" s="1"/>
  <c r="J41" i="39" s="1"/>
  <c r="J29" i="40" s="1"/>
  <c r="H43" i="39"/>
  <c r="I43" i="39" s="1"/>
  <c r="J43" i="39" s="1"/>
  <c r="J31" i="40" s="1"/>
  <c r="H42" i="39"/>
  <c r="I42" i="39" s="1"/>
  <c r="J42" i="39" s="1"/>
  <c r="J30" i="40" s="1"/>
  <c r="H35" i="39"/>
  <c r="I35" i="39" s="1"/>
  <c r="J35" i="39" s="1"/>
  <c r="J23" i="40" s="1"/>
  <c r="H33" i="39"/>
  <c r="I33" i="39" s="1"/>
  <c r="J33" i="39" s="1"/>
  <c r="J21" i="40" s="1"/>
  <c r="H37" i="39"/>
  <c r="I37" i="39" s="1"/>
  <c r="J37" i="39" s="1"/>
  <c r="J25" i="40" s="1"/>
</calcChain>
</file>

<file path=xl/sharedStrings.xml><?xml version="1.0" encoding="utf-8"?>
<sst xmlns="http://schemas.openxmlformats.org/spreadsheetml/2006/main" count="2047" uniqueCount="223">
  <si>
    <t>Network</t>
  </si>
  <si>
    <t>Line Connection</t>
  </si>
  <si>
    <t>Transformation Connection</t>
  </si>
  <si>
    <t>Total</t>
  </si>
  <si>
    <t>Columns E and F have been populated with data from the most recent RRR filing. Rate classes that have more than one Network or Connection charge will notice that the cells are highlighted in green and unlocked.  
If the data needs to be modified, please make the necessary adjustments and note the changes in your manager's summary. As well, the Loss Factor has been imported from Tab 2.</t>
  </si>
  <si>
    <t>EV Multiplier:</t>
  </si>
  <si>
    <t>Rate Class</t>
  </si>
  <si>
    <t>Rate Description</t>
  </si>
  <si>
    <t>Unit</t>
  </si>
  <si>
    <t>Rate</t>
  </si>
  <si>
    <t>Non-Loss Adjusted Metered kWh</t>
  </si>
  <si>
    <t>Non-Loss Adjusted Metered kW</t>
  </si>
  <si>
    <t>Applicable Loss Factor</t>
  </si>
  <si>
    <t>Loss Adjusted Billed kWh</t>
  </si>
  <si>
    <t>Residential Service Classification</t>
  </si>
  <si>
    <t>Retail Transmission Rate - Network Service Rate</t>
  </si>
  <si>
    <t>$/kWh</t>
  </si>
  <si>
    <t>Retail Transmission Rate - Line and Transformation Connection Service Rate</t>
  </si>
  <si>
    <t>Seasonal Residential Service Classification</t>
  </si>
  <si>
    <t>General Service Less Than 50 kW Service Classification</t>
  </si>
  <si>
    <t>General Service 50 To 2,999 kW Service Classification</t>
  </si>
  <si>
    <t>$/kW</t>
  </si>
  <si>
    <t>Retail Transmission Rate - Network Service Rate - EV CHARGING</t>
  </si>
  <si>
    <t>Retail Transmission Rate - Line and Transformation Connection Service Rate - EV CHARGING</t>
  </si>
  <si>
    <t>General Service 3,000 To 4,999 kW Service Classification</t>
  </si>
  <si>
    <t xml:space="preserve">Retail Transmission Rate - Line and Transformation Connection Service Rate </t>
  </si>
  <si>
    <t>Retail Transmission Rate - Line and Transformation Connection Service Rate  - EV CHARGING</t>
  </si>
  <si>
    <t>Large Use Service Classification</t>
  </si>
  <si>
    <t>Unmetered Scattered Load Service Classification</t>
  </si>
  <si>
    <t>Sentinel Lighting Service Classification</t>
  </si>
  <si>
    <t>Street Lighting Service Classification</t>
  </si>
  <si>
    <t>Uniform Transmission Rates</t>
  </si>
  <si>
    <t>2024
Jan to Jun</t>
  </si>
  <si>
    <t>2024
Jul to Dec</t>
  </si>
  <si>
    <t>2025
Jan to Jun</t>
  </si>
  <si>
    <t>2025
Jul to Dec</t>
  </si>
  <si>
    <t>Network Service Rate</t>
  </si>
  <si>
    <t>kW</t>
  </si>
  <si>
    <t>Line Connection Service Rate</t>
  </si>
  <si>
    <t>Transformation Connection Service Rate</t>
  </si>
  <si>
    <t>Hydro One Sub-Transmission Rates</t>
  </si>
  <si>
    <t>Both Line and Transformation Connection Service Rate</t>
  </si>
  <si>
    <t>If needed, add extra host here. (I)</t>
  </si>
  <si>
    <t>If needed, add extra host here. (II)</t>
  </si>
  <si>
    <t>Low Voltage Switchgear Credit (if applicable, enter as a negative value)</t>
  </si>
  <si>
    <t>$</t>
  </si>
  <si>
    <t xml:space="preserve">In the green shaded cells, enter billing detail for wholesale transmission for the same reporting period as the billing determinants on Tab 10. For Hydro One Sub-transmission Rates, if you are charged a combined Line and Transformer connection rate, please ensure that both the Line Connection and Transformation Connection columns are completed. 
If any of the Hydro One Sub-transmission rates (column E, I and M) are highlighted in red, please double check the billing data entered in "Units Billed" and "Amount" columns. The highlighted rates do not match the Hydro One Sub-transmission rates approved for that time period. If data has been entered correctly, please provide explanation for the discrepancy in rates.
</t>
  </si>
  <si>
    <t>IESO</t>
  </si>
  <si>
    <t>Total Connection</t>
  </si>
  <si>
    <t>Month</t>
  </si>
  <si>
    <t>Units Billed</t>
  </si>
  <si>
    <t>Amount</t>
  </si>
  <si>
    <t>January</t>
  </si>
  <si>
    <t>February</t>
  </si>
  <si>
    <t>March</t>
  </si>
  <si>
    <t>April</t>
  </si>
  <si>
    <t>May</t>
  </si>
  <si>
    <t>June</t>
  </si>
  <si>
    <t>July</t>
  </si>
  <si>
    <t>August</t>
  </si>
  <si>
    <t>September</t>
  </si>
  <si>
    <t>October</t>
  </si>
  <si>
    <t>November</t>
  </si>
  <si>
    <t>December</t>
  </si>
  <si>
    <t>Hydro One</t>
  </si>
  <si>
    <t>Add Extra Host Here (I)</t>
  </si>
  <si>
    <t>(if needed)</t>
  </si>
  <si>
    <t>Add Extra Host Here (II)</t>
  </si>
  <si>
    <t>Low Voltage Switchgear Credit (if applicable)</t>
  </si>
  <si>
    <t>Total including deduction for Low Voltage Switchgear Credit</t>
  </si>
  <si>
    <t>The purpose of this sheet is to calculate the expected billing when current 2025 Uniform Transmission Rates are applied against historical 2024 transmission units.</t>
  </si>
  <si>
    <t>The purpose of this table is to re-align the current RTS Network Rates to recover current wholesale network costs.</t>
  </si>
  <si>
    <t>Current RTSR-Network</t>
  </si>
  <si>
    <t>Billed kW</t>
  </si>
  <si>
    <t>Billed Amount</t>
  </si>
  <si>
    <t>Billed Amount %</t>
  </si>
  <si>
    <t>Current Wholesale Billing</t>
  </si>
  <si>
    <t>Adjusted RTSR Network</t>
  </si>
  <si>
    <t>The purpose of this table is to re-align the current RTS Connection Rates to recover current wholesale connection costs.</t>
  </si>
  <si>
    <t>Current RTSR-Connection</t>
  </si>
  <si>
    <t>Adjusted RTSR-Connection</t>
  </si>
  <si>
    <t>General Service 50 To 4,999 kW Service Classification</t>
  </si>
  <si>
    <t>Revenue Requirement</t>
  </si>
  <si>
    <t>RR</t>
  </si>
  <si>
    <t>Connection</t>
  </si>
  <si>
    <t>Transformation</t>
  </si>
  <si>
    <t>MW</t>
  </si>
  <si>
    <t>UTR</t>
  </si>
  <si>
    <t>Line and Transformation</t>
  </si>
  <si>
    <t>Alectra Utilities Corporation-Brampton Rate Zone</t>
  </si>
  <si>
    <t xml:space="preserve">2026 RTSR Workform 
for Electricity Distributors
</t>
  </si>
  <si>
    <t>Alectra Utilities Corporation-Enersource Rate Zone</t>
  </si>
  <si>
    <t xml:space="preserve">v 1.0
</t>
  </si>
  <si>
    <t>Alectra Utilities Corporation-Horizon Utilities Rate Zone</t>
  </si>
  <si>
    <t>Alectra Utilities Corporation-PowerStream Rate Zone</t>
  </si>
  <si>
    <t>Alectra Utilities Corporation-Guelph Rate Zone</t>
  </si>
  <si>
    <t>Algoma Power Inc.</t>
  </si>
  <si>
    <t>Atikokan Hydro Inc.</t>
  </si>
  <si>
    <t>Bluewater Power Distribution Corporation</t>
  </si>
  <si>
    <t>Burlington Hydro Inc.</t>
  </si>
  <si>
    <t>Canadian Niagara Power Inc.</t>
  </si>
  <si>
    <t>Centre Wellington Hydro Ltd.</t>
  </si>
  <si>
    <t>Chapleau Public Utilities Corporation</t>
  </si>
  <si>
    <t>Drop-down lists are shaded blue; Input cells are shaded green.</t>
  </si>
  <si>
    <t>Cooperative Hydro Embrun Inc.</t>
  </si>
  <si>
    <t>E.L.K. Energy Inc.</t>
  </si>
  <si>
    <t xml:space="preserve">Utility Name   </t>
  </si>
  <si>
    <t>Elexicon Energy Inc.-Whitby Rate Zone</t>
  </si>
  <si>
    <t>Elexicon Energy Inc.-Veridian Rate Zone</t>
  </si>
  <si>
    <t>Assigned EB Number</t>
  </si>
  <si>
    <t>Enova Power Corp.-Kitchener-Wilmot Hydro Rate Zone</t>
  </si>
  <si>
    <t>Enova Power Corp.-Waterloo North Rate Zone</t>
  </si>
  <si>
    <t>Name and Title of Contact</t>
  </si>
  <si>
    <t>Entegrus Powerlines Inc.-For Entegrus-Main Rate Zone</t>
  </si>
  <si>
    <t>Entegrus Powerlines Inc.-For Former St. Thomas Energy Rate Zone</t>
  </si>
  <si>
    <t>Phone Number</t>
  </si>
  <si>
    <t>ENWIN Utilities Ltd.</t>
  </si>
  <si>
    <t>EPCOR Electricity Distribution Ontario Inc.</t>
  </si>
  <si>
    <t>Email Address</t>
  </si>
  <si>
    <t>ERTH Power Corporation - ERTH Power Main Rate Zone</t>
  </si>
  <si>
    <t>ERTH POWER CORPORATION – GODERICH RATE ZONE</t>
  </si>
  <si>
    <t>Last COS Re-based Year</t>
  </si>
  <si>
    <t>Espanola Regional Hydro Distribution Corporation</t>
  </si>
  <si>
    <t>Essex Powerlines Corporation</t>
  </si>
  <si>
    <t>Test Year</t>
  </si>
  <si>
    <t>Festival Hydro Inc.</t>
  </si>
  <si>
    <t>Fort Frances Power Corporation</t>
  </si>
  <si>
    <t xml:space="preserve">GrandBridge Energy Inc.-Brantford Power Rate Zone </t>
  </si>
  <si>
    <t xml:space="preserve">GrandBridge Energy Inc.-Energy+ Rate Zone </t>
  </si>
  <si>
    <t>Greater Sudbury Hydro Inc.</t>
  </si>
  <si>
    <t>Grimsby Power Incorporated</t>
  </si>
  <si>
    <t>Halton Hills Hydro Inc.</t>
  </si>
  <si>
    <t>Hearst Power Distribution Co. Ltd.</t>
  </si>
  <si>
    <t>Hydro 2000 Inc.</t>
  </si>
  <si>
    <t>Hydro Hawkesbury Inc.</t>
  </si>
  <si>
    <t>Hydro One Networks Inc.</t>
  </si>
  <si>
    <t>Hydro One Networks Inc.-Former Orillia Power Distribution Corporation Service Area</t>
  </si>
  <si>
    <t>Hydro One Networks Inc.-Former Peterborough Distribution Inc. Service Area</t>
  </si>
  <si>
    <t>Hydro One Networks Inc.-Former Haldimand County Hydro Inc. Service Area</t>
  </si>
  <si>
    <t>Hydro One Networks Inc.-Former Norfolk Power Distribution Inc. Service Area</t>
  </si>
  <si>
    <t>Hydro One Networks Inc.-Former Woodstock Hydro Services Inc. Service Area</t>
  </si>
  <si>
    <t>Hydro One Remote Communites Inc.</t>
  </si>
  <si>
    <t>Hydro Ottawa Limited</t>
  </si>
  <si>
    <t>InnPower Corporation</t>
  </si>
  <si>
    <t>Kingston Hydro Corporation</t>
  </si>
  <si>
    <t>Lakefront Utilities Inc.</t>
  </si>
  <si>
    <t>Lakeland Power Distribution Ltd.</t>
  </si>
  <si>
    <t>London Hydro Inc.</t>
  </si>
  <si>
    <t>Milton Hydro Distribution Inc.</t>
  </si>
  <si>
    <t>Newmarket-Tay Power Distribution Ltd.-For Former Midland Power Utility Rate Zone</t>
  </si>
  <si>
    <t>Newmarket-Tay Power Distribution Ltd.-For Newmarket-Tay Power Main Rate Zone</t>
  </si>
  <si>
    <t>Niagara Peninsula Energy Inc.</t>
  </si>
  <si>
    <t>Niagara-on-the-Lake Hydro Inc.</t>
  </si>
  <si>
    <t>North Bay Hydro Distribution Limited</t>
  </si>
  <si>
    <t>Northern Ontario Wires Inc.</t>
  </si>
  <si>
    <t>Oakville Hydro Electricity Distribution Inc.</t>
  </si>
  <si>
    <t>Orangeville Hydro Limited</t>
  </si>
  <si>
    <t>Oshawa PUC Networks Inc.</t>
  </si>
  <si>
    <t>Ottawa River Power Corporation</t>
  </si>
  <si>
    <t>PUC Distribution Inc.</t>
  </si>
  <si>
    <t>Renfrew Hydro Inc.</t>
  </si>
  <si>
    <t>Rideau St. Lawrence Distribution Inc.</t>
  </si>
  <si>
    <t>Sioux Lookout Hydro Inc.</t>
  </si>
  <si>
    <t>Synergy North Corporation-Kenora Rate Zone</t>
  </si>
  <si>
    <t xml:space="preserve">Synergy North Corporation-Thunder Bay Rate Zone </t>
  </si>
  <si>
    <t>Tillsonburg Hydro Inc.</t>
  </si>
  <si>
    <t>Toronto Hydro-Electric System Limited</t>
  </si>
  <si>
    <t>Wasaga Distribution Inc.</t>
  </si>
  <si>
    <t>Welland Hydro-Electric System Corp.</t>
  </si>
  <si>
    <t>Wellington North Power Inc.</t>
  </si>
  <si>
    <t>Westario Power Inc.</t>
  </si>
  <si>
    <t>Elexicon Energy Inc.</t>
  </si>
  <si>
    <t>1. Info</t>
  </si>
  <si>
    <t>5. Historical Wholesale</t>
  </si>
  <si>
    <t>2. Table of Contents</t>
  </si>
  <si>
    <t>6. Current Wholesale</t>
  </si>
  <si>
    <t>3. RRR Data</t>
  </si>
  <si>
    <t>7. Forecast Wholesale</t>
  </si>
  <si>
    <t>4. UTRs and Sub-Transmission</t>
  </si>
  <si>
    <t>8. RTSR Rates to Forecast</t>
  </si>
  <si>
    <t>9. LV Rates</t>
  </si>
  <si>
    <t>Forecast UTRs</t>
  </si>
  <si>
    <t>HONI Revenue Requirements</t>
  </si>
  <si>
    <t>Average Increases</t>
  </si>
  <si>
    <t>WRZ</t>
  </si>
  <si>
    <t>VRZ</t>
  </si>
  <si>
    <t>Elexicon</t>
  </si>
  <si>
    <t>By Rate Zone</t>
  </si>
  <si>
    <t>Veridian</t>
  </si>
  <si>
    <t>Total kWh</t>
  </si>
  <si>
    <t>Total kW</t>
  </si>
  <si>
    <t>Harmonized %</t>
  </si>
  <si>
    <t>Whitby</t>
  </si>
  <si>
    <t>Total Billed Amount</t>
  </si>
  <si>
    <t>Residential</t>
  </si>
  <si>
    <t>GS &lt;50</t>
  </si>
  <si>
    <t>GS 50 - 2,999 kW</t>
  </si>
  <si>
    <t>GS 3,000 - 4,999 kW</t>
  </si>
  <si>
    <t>Large Use &gt;5MW</t>
  </si>
  <si>
    <t>Street Light</t>
  </si>
  <si>
    <t>Sentinel</t>
  </si>
  <si>
    <t>Unmetered Scattered Load</t>
  </si>
  <si>
    <t>Seasonal Residential</t>
  </si>
  <si>
    <t>Low Voltage Charge</t>
  </si>
  <si>
    <t>2026 LV Charge</t>
  </si>
  <si>
    <t>2027 Billed kWh/kW</t>
  </si>
  <si>
    <t>2027 LV Charges</t>
  </si>
  <si>
    <t>Allocated 2027 LV Cost</t>
  </si>
  <si>
    <t>Class Share (Connection RTSRs)</t>
  </si>
  <si>
    <t>kWh</t>
  </si>
  <si>
    <t>Billing Unit</t>
  </si>
  <si>
    <t>LV Revenue</t>
  </si>
  <si>
    <t>EB-2021-0110 Settlement Agreement, Attachment 1, Schedule 2.3</t>
  </si>
  <si>
    <t>Veridian Rate Zone</t>
  </si>
  <si>
    <t>Whitby Rate Zone</t>
  </si>
  <si>
    <t>Whibty Rate Zone</t>
  </si>
  <si>
    <t>EB-2025-0312</t>
  </si>
  <si>
    <t>Erin Stevens, Director, Regulatory Affairs</t>
  </si>
  <si>
    <t>estevens@elexiconenergy.com</t>
  </si>
  <si>
    <t>2027 Revenue Requirement</t>
  </si>
  <si>
    <t>ST Common Line Charge (Monthly $/kW)</t>
  </si>
  <si>
    <t>LVDS Low Rate (Monthly, $/kW)</t>
  </si>
  <si>
    <t>ST Specific Line Rate (Monthly, per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</si>
</sst>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44" formatCode="_-&quot;$&quot;* #,##0.00_-;\-&quot;$&quot;* #,##0.00_-;_-&quot;$&quot;* &quot;-&quot;??_-;_-@_-"/>
    <numFmt numFmtId="43" formatCode="_-* #,##0.00_-;\-* #,##0.00_-;_-* &quot;-&quot;??_-;_-@_-"/>
    <numFmt numFmtId="164" formatCode="_(&quot;$&quot;* #,##0.00_);_(&quot;$&quot;* \(#,##0.00\);_(&quot;$&quot;* &quot;-&quot;??_);_(@_)"/>
    <numFmt numFmtId="165" formatCode="_(&quot;$&quot;* #,##0_);_(&quot;$&quot;* \(#,##0\);_(&quot;$&quot;* &quot;-&quot;??_);_(@_)"/>
    <numFmt numFmtId="166" formatCode="_(* #,##0.00_);_(* \(#,##0.00\);_(* &quot;-&quot;??_);_(@_)"/>
    <numFmt numFmtId="167" formatCode="_(* #,##0_);_(* \(#,##0\);_(* &quot;-&quot;??_);_(@_)"/>
    <numFmt numFmtId="168" formatCode="0.0000"/>
    <numFmt numFmtId="169" formatCode="0.0%"/>
    <numFmt numFmtId="170" formatCode="#,##0;[Red]\(#,##0\)"/>
    <numFmt numFmtId="171" formatCode="_-&quot;$&quot;* #,##0.0000_-;\-&quot;$&quot;* #,##0.0000_-;_-&quot;$&quot;* &quot;-&quot;??_-;_-@_-"/>
    <numFmt numFmtId="172" formatCode="_-&quot;$&quot;* #,##0_-;\-&quot;$&quot;* #,##0_-;_-&quot;$&quot;* &quot;-&quot;??_-;_-@_-"/>
    <numFmt numFmtId="173" formatCode="_-* #,##0_-;\-* #,##0_-;_-* &quot;-&quot;??_-;_-@_-"/>
    <numFmt numFmtId="174" formatCode="&quot;$&quot;#,##0.00_);\(&quot;$&quot;#,##0.00\)"/>
    <numFmt numFmtId="175" formatCode="&quot;$&quot;#,##0.0000_);\(&quot;$&quot;#,##0.0000\)"/>
    <numFmt numFmtId="176" formatCode="_(&quot;$&quot;* #,##0.0000_);_(&quot;$&quot;* \(#,##0.0000\);_(&quot;$&quot;* &quot;-&quot;??_);_(@_)"/>
    <numFmt numFmtId="177" formatCode="_(* #,##0.0000_);_(* \(#,##0.0000\);_(* &quot;-&quot;??_);_(@_)"/>
    <numFmt numFmtId="178" formatCode="[$-1009]mmmm\ d\,\ yyyy;@"/>
    <numFmt numFmtId="179" formatCode="_-&quot;$&quot;* #,##0.0000000_-;\-&quot;$&quot;* #,##0.0000000_-;_-&quot;$&quot;* &quot;-&quot;??_-;_-@_-"/>
    <numFmt numFmtId="180" formatCode="0.0000%"/>
    <numFmt numFmtId="181" formatCode="0.00000"/>
    <numFmt numFmtId="182" formatCode="0.000%"/>
  </numFmts>
  <fonts count="34"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sz val="10"/>
      <color theme="1"/>
      <name val="Arial"/>
      <family val="2"/>
    </font>
    <font>
      <sz val="10"/>
      <color theme="0"/>
      <name val="Arial"/>
      <family val="2"/>
    </font>
    <font>
      <b/>
      <sz val="11"/>
      <name val="Arial"/>
      <family val="2"/>
    </font>
    <font>
      <b/>
      <sz val="10"/>
      <name val="Arial"/>
      <family val="2"/>
    </font>
    <font>
      <b/>
      <sz val="14"/>
      <name val="Arial"/>
      <family val="2"/>
    </font>
    <font>
      <b/>
      <sz val="10"/>
      <color theme="0"/>
      <name val="Arial"/>
      <family val="2"/>
    </font>
    <font>
      <b/>
      <sz val="12"/>
      <name val="Arial"/>
      <family val="2"/>
    </font>
    <font>
      <b/>
      <sz val="12"/>
      <color theme="0"/>
      <name val="Arial"/>
      <family val="2"/>
    </font>
    <font>
      <sz val="12"/>
      <color theme="1"/>
      <name val="Arial"/>
      <family val="2"/>
    </font>
    <font>
      <sz val="12"/>
      <name val="Arial"/>
      <family val="2"/>
    </font>
    <font>
      <sz val="12"/>
      <color indexed="8"/>
      <name val="Arial"/>
      <family val="2"/>
    </font>
    <font>
      <sz val="11"/>
      <color theme="1"/>
      <name val="Arial"/>
      <family val="2"/>
    </font>
    <font>
      <sz val="13"/>
      <color indexed="8"/>
      <name val="Arial"/>
      <family val="2"/>
    </font>
    <font>
      <sz val="13"/>
      <name val="Arial"/>
      <family val="2"/>
    </font>
    <font>
      <b/>
      <sz val="12"/>
      <color indexed="8"/>
      <name val="Arial"/>
      <family val="2"/>
    </font>
    <font>
      <b/>
      <sz val="12"/>
      <color theme="1"/>
      <name val="Arial"/>
      <family val="2"/>
    </font>
    <font>
      <sz val="10"/>
      <name val="Book Antiqua"/>
      <family val="1"/>
    </font>
    <font>
      <b/>
      <sz val="10"/>
      <name val="Book Antiqua"/>
      <family val="1"/>
    </font>
    <font>
      <b/>
      <sz val="10"/>
      <color rgb="FFFF0000"/>
      <name val="Arial"/>
      <family val="2"/>
    </font>
    <font>
      <sz val="10"/>
      <color theme="1"/>
      <name val="Aptos Narrow"/>
      <family val="2"/>
      <scheme val="minor"/>
    </font>
    <font>
      <b/>
      <sz val="10"/>
      <color rgb="FF000000"/>
      <name val="Arial"/>
      <family val="2"/>
    </font>
    <font>
      <sz val="11"/>
      <name val="Calibri"/>
      <family val="2"/>
    </font>
    <font>
      <sz val="14"/>
      <name val="Arial"/>
      <family val="2"/>
    </font>
    <font>
      <b/>
      <sz val="20"/>
      <name val="Arial"/>
      <family val="2"/>
    </font>
    <font>
      <b/>
      <sz val="12"/>
      <color indexed="10"/>
      <name val="Arial"/>
      <family val="2"/>
    </font>
    <font>
      <b/>
      <sz val="12"/>
      <name val="Book Antiqua"/>
      <family val="1"/>
    </font>
    <font>
      <b/>
      <sz val="11"/>
      <color indexed="48"/>
      <name val="Arial"/>
      <family val="2"/>
    </font>
    <font>
      <sz val="11"/>
      <name val="Arial"/>
      <family val="2"/>
    </font>
    <font>
      <u/>
      <sz val="11"/>
      <color theme="10"/>
      <name val="Aptos Narrow"/>
      <family val="2"/>
      <scheme val="minor"/>
    </font>
    <font>
      <b/>
      <u/>
      <sz val="12"/>
      <color indexed="12"/>
      <name val="Arial"/>
      <family val="2"/>
    </font>
  </fonts>
  <fills count="9">
    <fill>
      <patternFill patternType="none"/>
    </fill>
    <fill>
      <patternFill patternType="gray125"/>
    </fill>
    <fill>
      <patternFill patternType="solid">
        <fgColor theme="6" tint="0.79995117038483843"/>
        <bgColor indexed="64"/>
      </patternFill>
    </fill>
    <fill>
      <patternFill patternType="solid">
        <fgColor indexed="9"/>
        <bgColor indexed="64"/>
      </patternFill>
    </fill>
    <fill>
      <patternFill patternType="solid">
        <fgColor theme="3"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249977111117893"/>
        <bgColor indexed="64"/>
      </patternFill>
    </fill>
    <fill>
      <patternFill patternType="solid">
        <fgColor theme="4" tint="0.79998168889431442"/>
        <bgColor indexed="64"/>
      </patternFill>
    </fill>
  </fills>
  <borders count="2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indexed="9"/>
      </left>
      <right style="thin">
        <color indexed="9"/>
      </right>
      <top style="thin">
        <color indexed="9"/>
      </top>
      <bottom style="thin">
        <color indexed="9"/>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theme="0"/>
      </left>
      <right style="thin">
        <color theme="0"/>
      </right>
      <top style="thin">
        <color theme="0"/>
      </top>
      <bottom/>
      <diagonal/>
    </border>
    <border>
      <left style="thick">
        <color theme="0" tint="-0.24994659260841701"/>
      </left>
      <right style="thin">
        <color theme="0" tint="-4.9989318521683403E-2"/>
      </right>
      <top style="thick">
        <color theme="0" tint="-0.24994659260841701"/>
      </top>
      <bottom style="thin">
        <color theme="0" tint="-4.9989318521683403E-2"/>
      </bottom>
      <diagonal/>
    </border>
    <border>
      <left style="thick">
        <color theme="0" tint="-0.24994659260841701"/>
      </left>
      <right/>
      <top style="thick">
        <color theme="0" tint="-0.24994659260841701"/>
      </top>
      <bottom style="thin">
        <color theme="0" tint="-4.9989318521683403E-2"/>
      </bottom>
      <diagonal/>
    </border>
    <border>
      <left/>
      <right style="thin">
        <color theme="0" tint="-4.9989318521683403E-2"/>
      </right>
      <top style="thick">
        <color theme="0" tint="-0.24994659260841701"/>
      </top>
      <bottom style="thin">
        <color theme="0" tint="-4.9989318521683403E-2"/>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6" fontId="3" fillId="0" borderId="0" applyFont="0" applyFill="0" applyBorder="0" applyAlignment="0" applyProtection="0"/>
    <xf numFmtId="0" fontId="3" fillId="0" borderId="0"/>
    <xf numFmtId="164" fontId="3" fillId="0" borderId="0" applyFont="0" applyFill="0" applyBorder="0" applyAlignment="0" applyProtection="0"/>
    <xf numFmtId="166" fontId="3" fillId="0" borderId="0" applyFont="0" applyFill="0" applyBorder="0" applyAlignment="0" applyProtection="0"/>
    <xf numFmtId="0" fontId="3" fillId="0" borderId="0"/>
    <xf numFmtId="0" fontId="32" fillId="0" borderId="0" applyNumberFormat="0" applyFill="0" applyBorder="0" applyAlignment="0" applyProtection="0"/>
  </cellStyleXfs>
  <cellXfs count="247">
    <xf numFmtId="0" fontId="0" fillId="0" borderId="0" xfId="0"/>
    <xf numFmtId="0" fontId="3" fillId="0" borderId="0" xfId="5"/>
    <xf numFmtId="0" fontId="5" fillId="0" borderId="0" xfId="5" applyFont="1"/>
    <xf numFmtId="0" fontId="7" fillId="0" borderId="0" xfId="5" applyFont="1" applyAlignment="1">
      <alignment vertical="center" wrapText="1"/>
    </xf>
    <xf numFmtId="0" fontId="8" fillId="0" borderId="1" xfId="0" applyFont="1" applyBorder="1" applyAlignment="1">
      <alignment horizontal="right"/>
    </xf>
    <xf numFmtId="0" fontId="8" fillId="0" borderId="2" xfId="0" applyFont="1" applyBorder="1" applyAlignment="1">
      <alignment horizontal="left"/>
    </xf>
    <xf numFmtId="0" fontId="6" fillId="0" borderId="0" xfId="5" applyFont="1"/>
    <xf numFmtId="0" fontId="6" fillId="0" borderId="0" xfId="5" applyFont="1" applyAlignment="1">
      <alignment horizontal="center" vertical="center"/>
    </xf>
    <xf numFmtId="168" fontId="6" fillId="0" borderId="0" xfId="5" applyNumberFormat="1" applyFont="1" applyAlignment="1">
      <alignment horizontal="center" vertical="center"/>
    </xf>
    <xf numFmtId="3" fontId="6" fillId="0" borderId="0" xfId="5" applyNumberFormat="1" applyFont="1" applyAlignment="1">
      <alignment horizontal="center" vertical="center" wrapText="1"/>
    </xf>
    <xf numFmtId="168" fontId="6" fillId="0" borderId="0" xfId="5" applyNumberFormat="1" applyFont="1" applyAlignment="1">
      <alignment horizontal="center" vertical="center" wrapText="1"/>
    </xf>
    <xf numFmtId="0" fontId="6" fillId="0" borderId="0" xfId="5" applyFont="1" applyAlignment="1">
      <alignment horizontal="center" vertical="center" wrapText="1"/>
    </xf>
    <xf numFmtId="168" fontId="3" fillId="0" borderId="0" xfId="5" applyNumberFormat="1"/>
    <xf numFmtId="3" fontId="3" fillId="0" borderId="0" xfId="5" applyNumberFormat="1"/>
    <xf numFmtId="0" fontId="3" fillId="0" borderId="0" xfId="5" applyAlignment="1">
      <alignment horizontal="center"/>
    </xf>
    <xf numFmtId="168" fontId="3" fillId="0" borderId="0" xfId="5" applyNumberFormat="1" applyAlignment="1">
      <alignment horizontal="center"/>
    </xf>
    <xf numFmtId="170" fontId="3" fillId="0" borderId="0" xfId="5" applyNumberFormat="1"/>
    <xf numFmtId="168" fontId="3" fillId="0" borderId="0" xfId="5" applyNumberFormat="1" applyProtection="1">
      <protection locked="0"/>
    </xf>
    <xf numFmtId="170" fontId="3" fillId="2" borderId="3" xfId="5" applyNumberFormat="1" applyFill="1" applyBorder="1" applyProtection="1">
      <protection locked="0"/>
    </xf>
    <xf numFmtId="170" fontId="3" fillId="2" borderId="4" xfId="5" applyNumberFormat="1" applyFill="1" applyBorder="1" applyProtection="1">
      <protection locked="0"/>
    </xf>
    <xf numFmtId="170" fontId="3" fillId="2" borderId="5" xfId="5" applyNumberFormat="1" applyFill="1" applyBorder="1" applyProtection="1">
      <protection locked="0"/>
    </xf>
    <xf numFmtId="170" fontId="3" fillId="2" borderId="6" xfId="5" applyNumberFormat="1" applyFill="1" applyBorder="1" applyProtection="1">
      <protection locked="0"/>
    </xf>
    <xf numFmtId="170" fontId="3" fillId="2" borderId="7" xfId="5" applyNumberFormat="1" applyFill="1" applyBorder="1" applyProtection="1">
      <protection locked="0"/>
    </xf>
    <xf numFmtId="170" fontId="3" fillId="2" borderId="8" xfId="5" applyNumberFormat="1" applyFill="1" applyBorder="1" applyProtection="1">
      <protection locked="0"/>
    </xf>
    <xf numFmtId="0" fontId="9" fillId="0" borderId="0" xfId="5" applyFont="1" applyAlignment="1">
      <alignment horizontal="left" vertical="center"/>
    </xf>
    <xf numFmtId="0" fontId="9" fillId="0" borderId="0" xfId="5" applyFont="1" applyAlignment="1">
      <alignment horizontal="center" vertical="center" wrapText="1"/>
    </xf>
    <xf numFmtId="0" fontId="3" fillId="3" borderId="0" xfId="5" applyFill="1"/>
    <xf numFmtId="0" fontId="3" fillId="3" borderId="0" xfId="5" applyFill="1" applyAlignment="1">
      <alignment horizontal="center"/>
    </xf>
    <xf numFmtId="0" fontId="10" fillId="3" borderId="0" xfId="5" applyFont="1" applyFill="1" applyAlignment="1">
      <alignment horizontal="center" wrapText="1"/>
    </xf>
    <xf numFmtId="0" fontId="11" fillId="4" borderId="0" xfId="0" applyFont="1" applyFill="1" applyAlignment="1">
      <alignment horizontal="left" vertical="center"/>
    </xf>
    <xf numFmtId="0" fontId="11" fillId="4" borderId="0" xfId="0" applyFont="1" applyFill="1" applyAlignment="1">
      <alignment horizontal="center" vertical="center" wrapText="1"/>
    </xf>
    <xf numFmtId="0" fontId="12" fillId="0" borderId="0" xfId="0" applyFont="1"/>
    <xf numFmtId="0" fontId="11" fillId="0" borderId="0" xfId="0" applyFont="1" applyAlignment="1">
      <alignment horizontal="center" vertical="center" wrapText="1"/>
    </xf>
    <xf numFmtId="0" fontId="10" fillId="0" borderId="0" xfId="0" applyFont="1"/>
    <xf numFmtId="0" fontId="13" fillId="0" borderId="0" xfId="0" applyFont="1"/>
    <xf numFmtId="0" fontId="10" fillId="0" borderId="0" xfId="0" applyFont="1" applyAlignment="1">
      <alignment horizontal="center"/>
    </xf>
    <xf numFmtId="0" fontId="14" fillId="3" borderId="0" xfId="0" applyFont="1" applyFill="1" applyAlignment="1">
      <alignment horizontal="left"/>
    </xf>
    <xf numFmtId="0" fontId="13" fillId="3" borderId="0" xfId="0" applyFont="1" applyFill="1" applyAlignment="1">
      <alignment horizontal="center"/>
    </xf>
    <xf numFmtId="0" fontId="13" fillId="3" borderId="0" xfId="0" applyFont="1" applyFill="1"/>
    <xf numFmtId="164" fontId="10" fillId="5" borderId="0" xfId="6" applyFont="1" applyFill="1" applyProtection="1"/>
    <xf numFmtId="164" fontId="10" fillId="5" borderId="0" xfId="6" applyFont="1" applyFill="1" applyProtection="1">
      <protection locked="0"/>
    </xf>
    <xf numFmtId="164" fontId="10" fillId="0" borderId="0" xfId="6" applyFont="1" applyFill="1" applyProtection="1">
      <protection locked="0"/>
    </xf>
    <xf numFmtId="164" fontId="10" fillId="6" borderId="0" xfId="6" applyFont="1" applyFill="1" applyProtection="1">
      <protection locked="0"/>
    </xf>
    <xf numFmtId="164" fontId="10" fillId="3" borderId="0" xfId="6" applyFont="1" applyFill="1" applyProtection="1"/>
    <xf numFmtId="164" fontId="10" fillId="0" borderId="0" xfId="6" applyFont="1" applyFill="1" applyProtection="1"/>
    <xf numFmtId="0" fontId="10" fillId="3" borderId="0" xfId="0" applyFont="1" applyFill="1"/>
    <xf numFmtId="0" fontId="12" fillId="3" borderId="0" xfId="0" applyFont="1" applyFill="1" applyAlignment="1">
      <alignment horizontal="center"/>
    </xf>
    <xf numFmtId="49" fontId="9" fillId="0" borderId="0" xfId="0" applyNumberFormat="1" applyFont="1" applyAlignment="1">
      <alignment horizontal="center"/>
    </xf>
    <xf numFmtId="0" fontId="4" fillId="3" borderId="0" xfId="0" applyFont="1" applyFill="1"/>
    <xf numFmtId="0" fontId="9" fillId="0" borderId="0" xfId="0" applyFont="1" applyAlignment="1">
      <alignment horizontal="center"/>
    </xf>
    <xf numFmtId="0" fontId="12" fillId="3" borderId="0" xfId="0" applyFont="1" applyFill="1"/>
    <xf numFmtId="0" fontId="10" fillId="3" borderId="0" xfId="0" applyFont="1" applyFill="1" applyAlignment="1">
      <alignment horizontal="center" wrapText="1"/>
    </xf>
    <xf numFmtId="171" fontId="10" fillId="5" borderId="0" xfId="6" applyNumberFormat="1" applyFont="1" applyFill="1" applyProtection="1">
      <protection locked="0"/>
    </xf>
    <xf numFmtId="171" fontId="10" fillId="6" borderId="0" xfId="6" applyNumberFormat="1" applyFont="1" applyFill="1" applyProtection="1">
      <protection locked="0"/>
    </xf>
    <xf numFmtId="171" fontId="10" fillId="3" borderId="0" xfId="6" applyNumberFormat="1" applyFont="1" applyFill="1" applyProtection="1"/>
    <xf numFmtId="0" fontId="0" fillId="3" borderId="0" xfId="0" applyFill="1"/>
    <xf numFmtId="0" fontId="11" fillId="7" borderId="0" xfId="0" applyFont="1" applyFill="1" applyAlignment="1" applyProtection="1">
      <alignment horizontal="left" vertical="center"/>
      <protection locked="0"/>
    </xf>
    <xf numFmtId="0" fontId="9" fillId="7" borderId="0" xfId="0" applyFont="1" applyFill="1" applyAlignment="1">
      <alignment horizontal="center" vertical="center" wrapText="1"/>
    </xf>
    <xf numFmtId="0" fontId="11" fillId="7" borderId="0" xfId="0" applyFont="1" applyFill="1" applyAlignment="1">
      <alignment horizontal="center" vertical="center" wrapText="1"/>
    </xf>
    <xf numFmtId="0" fontId="0" fillId="3" borderId="0" xfId="0" applyFill="1" applyAlignment="1">
      <alignment horizontal="center"/>
    </xf>
    <xf numFmtId="0" fontId="3" fillId="0" borderId="0" xfId="0" applyFont="1"/>
    <xf numFmtId="0" fontId="15" fillId="0" borderId="0" xfId="0" applyFont="1"/>
    <xf numFmtId="0" fontId="16" fillId="3" borderId="0" xfId="0" applyFont="1" applyFill="1" applyAlignment="1">
      <alignment horizontal="left"/>
    </xf>
    <xf numFmtId="0" fontId="17" fillId="3" borderId="0" xfId="0" applyFont="1" applyFill="1" applyAlignment="1">
      <alignment horizontal="center"/>
    </xf>
    <xf numFmtId="0" fontId="17" fillId="3" borderId="0" xfId="0" applyFont="1" applyFill="1"/>
    <xf numFmtId="0" fontId="15" fillId="3" borderId="0" xfId="0" applyFont="1" applyFill="1"/>
    <xf numFmtId="0" fontId="18" fillId="0" borderId="0" xfId="0" applyFont="1" applyAlignment="1">
      <alignment horizontal="center" vertical="center"/>
    </xf>
    <xf numFmtId="0" fontId="18" fillId="0" borderId="0" xfId="0" applyFont="1" applyAlignment="1">
      <alignment horizontal="left" wrapText="1"/>
    </xf>
    <xf numFmtId="0" fontId="13" fillId="0" borderId="0" xfId="0" applyFont="1" applyAlignment="1">
      <alignment horizontal="center"/>
    </xf>
    <xf numFmtId="171" fontId="10" fillId="0" borderId="0" xfId="6" applyNumberFormat="1" applyFont="1" applyFill="1" applyProtection="1"/>
    <xf numFmtId="172" fontId="10" fillId="6" borderId="0" xfId="6" applyNumberFormat="1" applyFont="1" applyFill="1" applyProtection="1">
      <protection locked="0"/>
    </xf>
    <xf numFmtId="0" fontId="9" fillId="4" borderId="0" xfId="5" applyFont="1" applyFill="1" applyAlignment="1">
      <alignment horizontal="center" vertical="center"/>
    </xf>
    <xf numFmtId="0" fontId="7" fillId="0" borderId="0" xfId="5" applyFont="1" applyAlignment="1">
      <alignment horizontal="center" vertical="center"/>
    </xf>
    <xf numFmtId="0" fontId="10" fillId="3" borderId="0" xfId="5" applyFont="1" applyFill="1" applyAlignment="1">
      <alignment wrapText="1"/>
    </xf>
    <xf numFmtId="0" fontId="7" fillId="0" borderId="0" xfId="5" applyFont="1" applyAlignment="1">
      <alignment horizontal="center" wrapText="1"/>
    </xf>
    <xf numFmtId="0" fontId="20" fillId="3" borderId="0" xfId="5" applyFont="1" applyFill="1"/>
    <xf numFmtId="0" fontId="21" fillId="3" borderId="0" xfId="5" applyFont="1" applyFill="1" applyAlignment="1">
      <alignment horizontal="center" wrapText="1"/>
    </xf>
    <xf numFmtId="173" fontId="3" fillId="6" borderId="9" xfId="7" applyNumberFormat="1" applyFont="1" applyFill="1" applyBorder="1" applyProtection="1">
      <protection locked="0"/>
    </xf>
    <xf numFmtId="174" fontId="3" fillId="6" borderId="9" xfId="6" applyNumberFormat="1" applyFont="1" applyFill="1" applyBorder="1" applyAlignment="1" applyProtection="1">
      <alignment horizontal="center"/>
      <protection locked="0"/>
    </xf>
    <xf numFmtId="172" fontId="3" fillId="6" borderId="9" xfId="6" applyNumberFormat="1" applyFont="1" applyFill="1" applyBorder="1" applyProtection="1">
      <protection locked="0"/>
    </xf>
    <xf numFmtId="172" fontId="3" fillId="3" borderId="0" xfId="6" applyNumberFormat="1" applyFont="1" applyFill="1" applyProtection="1"/>
    <xf numFmtId="173" fontId="3" fillId="3" borderId="10" xfId="7" applyNumberFormat="1" applyFont="1" applyFill="1" applyBorder="1" applyProtection="1"/>
    <xf numFmtId="164" fontId="3" fillId="3" borderId="10" xfId="6" applyFont="1" applyFill="1" applyBorder="1" applyProtection="1"/>
    <xf numFmtId="172" fontId="3" fillId="3" borderId="10" xfId="6" applyNumberFormat="1" applyFont="1" applyFill="1" applyBorder="1" applyProtection="1"/>
    <xf numFmtId="175" fontId="3" fillId="2" borderId="9" xfId="6" applyNumberFormat="1" applyFont="1" applyFill="1" applyBorder="1" applyAlignment="1" applyProtection="1">
      <alignment horizontal="center"/>
      <protection locked="0"/>
    </xf>
    <xf numFmtId="176" fontId="3" fillId="3" borderId="10" xfId="6" applyNumberFormat="1" applyFont="1" applyFill="1" applyBorder="1" applyProtection="1"/>
    <xf numFmtId="0" fontId="9" fillId="4" borderId="0" xfId="5" applyFont="1" applyFill="1" applyAlignment="1" applyProtection="1">
      <alignment horizontal="center" vertical="center"/>
      <protection locked="0"/>
    </xf>
    <xf numFmtId="0" fontId="22" fillId="0" borderId="0" xfId="5" applyFont="1" applyAlignment="1">
      <alignment horizontal="center" wrapText="1"/>
    </xf>
    <xf numFmtId="171" fontId="3" fillId="6" borderId="9" xfId="6" applyNumberFormat="1" applyFont="1" applyFill="1" applyBorder="1" applyAlignment="1" applyProtection="1">
      <alignment horizontal="center"/>
      <protection locked="0"/>
    </xf>
    <xf numFmtId="172" fontId="23" fillId="6" borderId="9" xfId="6" applyNumberFormat="1" applyFont="1" applyFill="1" applyBorder="1" applyProtection="1">
      <protection locked="0"/>
    </xf>
    <xf numFmtId="0" fontId="7" fillId="3" borderId="0" xfId="5" applyFont="1" applyFill="1" applyAlignment="1">
      <alignment horizontal="center" wrapText="1"/>
    </xf>
    <xf numFmtId="173" fontId="3" fillId="3" borderId="0" xfId="7" applyNumberFormat="1" applyFont="1" applyFill="1" applyProtection="1"/>
    <xf numFmtId="171" fontId="3" fillId="3" borderId="9" xfId="6" applyNumberFormat="1" applyFont="1" applyFill="1" applyBorder="1" applyProtection="1"/>
    <xf numFmtId="0" fontId="3" fillId="0" borderId="0" xfId="5" applyAlignment="1">
      <alignment vertical="top"/>
    </xf>
    <xf numFmtId="0" fontId="7" fillId="0" borderId="0" xfId="5" applyFont="1" applyAlignment="1">
      <alignment horizontal="right" vertical="top"/>
    </xf>
    <xf numFmtId="172" fontId="3" fillId="5" borderId="0" xfId="6" applyNumberFormat="1" applyFont="1" applyFill="1" applyProtection="1"/>
    <xf numFmtId="0" fontId="7" fillId="0" borderId="0" xfId="5" applyFont="1" applyAlignment="1">
      <alignment horizontal="right"/>
    </xf>
    <xf numFmtId="173" fontId="3" fillId="3" borderId="9" xfId="7" applyNumberFormat="1" applyFont="1" applyFill="1" applyBorder="1" applyProtection="1"/>
    <xf numFmtId="172" fontId="3" fillId="3" borderId="9" xfId="6" applyNumberFormat="1" applyFont="1" applyFill="1" applyBorder="1" applyProtection="1"/>
    <xf numFmtId="0" fontId="3" fillId="0" borderId="0" xfId="5" applyAlignment="1">
      <alignment horizontal="center" vertical="center"/>
    </xf>
    <xf numFmtId="168" fontId="3" fillId="0" borderId="0" xfId="5" applyNumberFormat="1" applyAlignment="1">
      <alignment horizontal="center" vertical="center"/>
    </xf>
    <xf numFmtId="173" fontId="3" fillId="0" borderId="0" xfId="5" applyNumberFormat="1" applyAlignment="1">
      <alignment horizontal="center" vertical="center"/>
    </xf>
    <xf numFmtId="169" fontId="3" fillId="0" borderId="0" xfId="5" applyNumberFormat="1" applyAlignment="1">
      <alignment horizontal="center" vertical="center"/>
    </xf>
    <xf numFmtId="0" fontId="10" fillId="0" borderId="0" xfId="5" applyFont="1"/>
    <xf numFmtId="0" fontId="10" fillId="0" borderId="0" xfId="5" applyFont="1" applyAlignment="1">
      <alignment horizontal="left" vertical="center" wrapText="1"/>
    </xf>
    <xf numFmtId="0" fontId="10" fillId="0" borderId="0" xfId="5" applyFont="1" applyAlignment="1">
      <alignment horizontal="center" vertical="center" wrapText="1"/>
    </xf>
    <xf numFmtId="168" fontId="10" fillId="0" borderId="0" xfId="5" applyNumberFormat="1" applyFont="1" applyAlignment="1">
      <alignment horizontal="center" vertical="center" wrapText="1"/>
    </xf>
    <xf numFmtId="173" fontId="10" fillId="0" borderId="0" xfId="5" applyNumberFormat="1" applyFont="1" applyAlignment="1">
      <alignment horizontal="center" vertical="center" wrapText="1"/>
    </xf>
    <xf numFmtId="173" fontId="10" fillId="5" borderId="0" xfId="5" applyNumberFormat="1" applyFont="1" applyFill="1" applyAlignment="1">
      <alignment horizontal="center" vertical="center" wrapText="1"/>
    </xf>
    <xf numFmtId="3" fontId="10" fillId="5" borderId="0" xfId="5" applyNumberFormat="1" applyFont="1" applyFill="1" applyAlignment="1">
      <alignment horizontal="center" vertical="center" wrapText="1"/>
    </xf>
    <xf numFmtId="169" fontId="10" fillId="5" borderId="0" xfId="5" applyNumberFormat="1" applyFont="1" applyFill="1" applyAlignment="1">
      <alignment horizontal="center" vertical="center" wrapText="1"/>
    </xf>
    <xf numFmtId="168" fontId="10" fillId="5" borderId="0" xfId="5" applyNumberFormat="1" applyFont="1" applyFill="1" applyAlignment="1">
      <alignment horizontal="center" vertical="center" wrapText="1"/>
    </xf>
    <xf numFmtId="3" fontId="3" fillId="0" borderId="0" xfId="5" applyNumberFormat="1" applyAlignment="1">
      <alignment horizontal="center" vertical="center"/>
    </xf>
    <xf numFmtId="169" fontId="3" fillId="0" borderId="0" xfId="3" applyNumberFormat="1" applyFont="1" applyAlignment="1" applyProtection="1">
      <alignment horizontal="center" vertical="center"/>
    </xf>
    <xf numFmtId="168" fontId="7" fillId="0" borderId="0" xfId="5" applyNumberFormat="1" applyFont="1" applyAlignment="1">
      <alignment horizontal="center" vertical="center"/>
    </xf>
    <xf numFmtId="2" fontId="13" fillId="0" borderId="0" xfId="0" applyNumberFormat="1" applyFont="1" applyAlignment="1">
      <alignment horizontal="center"/>
    </xf>
    <xf numFmtId="0" fontId="0" fillId="5" borderId="0" xfId="0" applyFill="1"/>
    <xf numFmtId="0" fontId="2" fillId="5" borderId="0" xfId="0" applyFont="1" applyFill="1"/>
    <xf numFmtId="173" fontId="3" fillId="0" borderId="0" xfId="1" applyNumberFormat="1" applyFont="1"/>
    <xf numFmtId="169" fontId="3" fillId="0" borderId="0" xfId="3" applyNumberFormat="1" applyFont="1"/>
    <xf numFmtId="173" fontId="3" fillId="0" borderId="0" xfId="5" applyNumberFormat="1"/>
    <xf numFmtId="169" fontId="3" fillId="0" borderId="0" xfId="5" applyNumberFormat="1"/>
    <xf numFmtId="44" fontId="3" fillId="0" borderId="0" xfId="5" applyNumberFormat="1"/>
    <xf numFmtId="171" fontId="3" fillId="0" borderId="0" xfId="5" applyNumberFormat="1"/>
    <xf numFmtId="10" fontId="3" fillId="0" borderId="0" xfId="3" applyNumberFormat="1" applyFont="1"/>
    <xf numFmtId="0" fontId="2" fillId="5" borderId="0" xfId="0" applyFont="1" applyFill="1" applyAlignment="1">
      <alignment horizontal="center"/>
    </xf>
    <xf numFmtId="0" fontId="7" fillId="0" borderId="0" xfId="5" applyFont="1"/>
    <xf numFmtId="0" fontId="10" fillId="0" borderId="14" xfId="0" applyFont="1" applyBorder="1" applyAlignment="1">
      <alignment horizontal="center"/>
    </xf>
    <xf numFmtId="0" fontId="0" fillId="6" borderId="15" xfId="0" applyFill="1" applyBorder="1" applyAlignment="1" applyProtection="1">
      <alignment vertical="center"/>
      <protection locked="0"/>
    </xf>
    <xf numFmtId="0" fontId="10" fillId="0" borderId="18" xfId="0" applyFont="1" applyBorder="1" applyAlignment="1">
      <alignment horizontal="center"/>
    </xf>
    <xf numFmtId="0" fontId="6" fillId="8" borderId="15" xfId="0" applyFont="1" applyFill="1" applyBorder="1" applyAlignment="1" applyProtection="1">
      <alignment horizontal="center" vertical="center" wrapText="1"/>
      <protection locked="0"/>
    </xf>
    <xf numFmtId="0" fontId="3" fillId="5" borderId="0" xfId="0" applyFont="1" applyFill="1"/>
    <xf numFmtId="0" fontId="7" fillId="5" borderId="0" xfId="0" applyFont="1" applyFill="1"/>
    <xf numFmtId="0" fontId="33" fillId="5" borderId="0" xfId="9" applyFont="1" applyFill="1" applyAlignment="1" applyProtection="1"/>
    <xf numFmtId="0" fontId="10" fillId="5" borderId="0" xfId="0" applyFont="1" applyFill="1"/>
    <xf numFmtId="0" fontId="10" fillId="5" borderId="0" xfId="0" applyFont="1" applyFill="1" applyAlignment="1">
      <alignment horizontal="center"/>
    </xf>
    <xf numFmtId="0" fontId="0" fillId="5" borderId="0" xfId="0" applyFill="1" applyAlignment="1">
      <alignment horizontal="left"/>
    </xf>
    <xf numFmtId="0" fontId="0" fillId="5" borderId="11" xfId="0" applyFill="1" applyBorder="1"/>
    <xf numFmtId="0" fontId="25" fillId="5" borderId="0" xfId="0" applyFont="1" applyFill="1" applyAlignment="1">
      <alignment wrapText="1"/>
    </xf>
    <xf numFmtId="0" fontId="0" fillId="5" borderId="0" xfId="0" applyFill="1" applyAlignment="1">
      <alignment horizontal="center"/>
    </xf>
    <xf numFmtId="0" fontId="0" fillId="5" borderId="0" xfId="0" applyFill="1" applyAlignment="1">
      <alignment horizontal="left" wrapText="1"/>
    </xf>
    <xf numFmtId="0" fontId="27" fillId="5" borderId="0" xfId="0" applyFont="1" applyFill="1"/>
    <xf numFmtId="0" fontId="2" fillId="5" borderId="0" xfId="0" applyFont="1" applyFill="1" applyAlignment="1">
      <alignment horizontal="right" vertical="center"/>
    </xf>
    <xf numFmtId="0" fontId="0" fillId="5" borderId="14" xfId="0" applyFill="1" applyBorder="1"/>
    <xf numFmtId="0" fontId="2" fillId="5" borderId="14" xfId="0" applyFont="1" applyFill="1" applyBorder="1" applyAlignment="1">
      <alignment horizontal="right" vertical="center" indent="1"/>
    </xf>
    <xf numFmtId="0" fontId="28" fillId="5" borderId="14" xfId="0" applyFont="1" applyFill="1" applyBorder="1" applyAlignment="1">
      <alignment horizontal="left" vertical="center" wrapText="1"/>
    </xf>
    <xf numFmtId="0" fontId="28" fillId="5" borderId="0" xfId="0" applyFont="1" applyFill="1" applyAlignment="1">
      <alignment horizontal="left" vertical="center" wrapText="1"/>
    </xf>
    <xf numFmtId="0" fontId="0" fillId="5" borderId="18" xfId="0" applyFill="1" applyBorder="1"/>
    <xf numFmtId="0" fontId="7" fillId="5" borderId="0" xfId="0" applyFont="1" applyFill="1" applyAlignment="1">
      <alignment horizontal="left"/>
    </xf>
    <xf numFmtId="0" fontId="7" fillId="5" borderId="0" xfId="0" applyFont="1" applyFill="1" applyAlignment="1">
      <alignment horizontal="center"/>
    </xf>
    <xf numFmtId="0" fontId="2" fillId="5" borderId="0" xfId="0" applyFont="1" applyFill="1" applyAlignment="1">
      <alignment horizontal="right" vertical="center" indent="1"/>
    </xf>
    <xf numFmtId="0" fontId="0" fillId="5" borderId="0" xfId="1" applyNumberFormat="1" applyFont="1" applyFill="1" applyAlignment="1" applyProtection="1">
      <alignment horizontal="center"/>
    </xf>
    <xf numFmtId="22" fontId="0" fillId="5" borderId="0" xfId="0" applyNumberFormat="1" applyFill="1" applyAlignment="1">
      <alignment horizontal="center"/>
    </xf>
    <xf numFmtId="178" fontId="10" fillId="5" borderId="0" xfId="0" applyNumberFormat="1" applyFont="1" applyFill="1" applyAlignment="1">
      <alignment horizontal="center"/>
    </xf>
    <xf numFmtId="49" fontId="0" fillId="5" borderId="0" xfId="0" applyNumberFormat="1" applyFill="1"/>
    <xf numFmtId="0" fontId="29" fillId="5" borderId="0" xfId="0" applyFont="1" applyFill="1"/>
    <xf numFmtId="0" fontId="29" fillId="5" borderId="0" xfId="0" applyFont="1" applyFill="1" applyAlignment="1">
      <alignment horizontal="left" indent="4"/>
    </xf>
    <xf numFmtId="0" fontId="30" fillId="5" borderId="0" xfId="0" applyFont="1" applyFill="1"/>
    <xf numFmtId="0" fontId="6" fillId="5" borderId="0" xfId="0" applyFont="1" applyFill="1" applyAlignment="1">
      <alignment horizontal="left"/>
    </xf>
    <xf numFmtId="0" fontId="31" fillId="5" borderId="0" xfId="0" applyFont="1" applyFill="1" applyAlignment="1">
      <alignment horizontal="left"/>
    </xf>
    <xf numFmtId="0" fontId="29" fillId="5" borderId="0" xfId="0" applyFont="1" applyFill="1" applyAlignment="1">
      <alignment horizontal="left"/>
    </xf>
    <xf numFmtId="178" fontId="30" fillId="5" borderId="0" xfId="0" applyNumberFormat="1" applyFont="1" applyFill="1"/>
    <xf numFmtId="0" fontId="29" fillId="5" borderId="0" xfId="0" applyFont="1" applyFill="1" applyAlignment="1">
      <alignment vertical="top" wrapText="1"/>
    </xf>
    <xf numFmtId="0" fontId="29" fillId="5" borderId="0" xfId="0" applyFont="1" applyFill="1" applyAlignment="1">
      <alignment horizontal="left" vertical="top" wrapText="1"/>
    </xf>
    <xf numFmtId="178" fontId="30" fillId="5" borderId="0" xfId="0" applyNumberFormat="1" applyFont="1" applyFill="1" applyAlignment="1">
      <alignment vertical="center"/>
    </xf>
    <xf numFmtId="22" fontId="0" fillId="5" borderId="0" xfId="0" applyNumberFormat="1" applyFill="1" applyAlignment="1">
      <alignment horizontal="left"/>
    </xf>
    <xf numFmtId="0" fontId="0" fillId="0" borderId="19" xfId="0" applyBorder="1"/>
    <xf numFmtId="0" fontId="0" fillId="0" borderId="20" xfId="0" applyBorder="1"/>
    <xf numFmtId="0" fontId="0" fillId="0" borderId="21" xfId="0" applyBorder="1"/>
    <xf numFmtId="0" fontId="0" fillId="0" borderId="22" xfId="0" applyBorder="1"/>
    <xf numFmtId="166" fontId="0" fillId="0" borderId="0" xfId="4" applyFont="1" applyBorder="1"/>
    <xf numFmtId="166" fontId="0" fillId="0" borderId="23" xfId="4" applyFont="1" applyBorder="1"/>
    <xf numFmtId="0" fontId="0" fillId="0" borderId="23" xfId="0" applyBorder="1"/>
    <xf numFmtId="167" fontId="0" fillId="0" borderId="0" xfId="4" applyNumberFormat="1" applyFont="1" applyBorder="1"/>
    <xf numFmtId="167" fontId="0" fillId="0" borderId="23" xfId="4" applyNumberFormat="1" applyFont="1" applyBorder="1"/>
    <xf numFmtId="43" fontId="0" fillId="0" borderId="23" xfId="0" applyNumberFormat="1" applyBorder="1"/>
    <xf numFmtId="169" fontId="3" fillId="0" borderId="0" xfId="3" applyNumberFormat="1" applyFont="1" applyBorder="1"/>
    <xf numFmtId="169" fontId="3" fillId="0" borderId="23" xfId="3" applyNumberFormat="1" applyFont="1" applyBorder="1"/>
    <xf numFmtId="177" fontId="0" fillId="0" borderId="0" xfId="4" applyNumberFormat="1" applyFont="1" applyBorder="1"/>
    <xf numFmtId="177" fontId="0" fillId="0" borderId="23" xfId="4" applyNumberFormat="1" applyFont="1" applyBorder="1"/>
    <xf numFmtId="0" fontId="0" fillId="0" borderId="24" xfId="0" applyBorder="1"/>
    <xf numFmtId="0" fontId="0" fillId="0" borderId="25" xfId="0" applyBorder="1"/>
    <xf numFmtId="169" fontId="3" fillId="0" borderId="25" xfId="3" applyNumberFormat="1" applyFont="1" applyBorder="1"/>
    <xf numFmtId="169" fontId="3" fillId="0" borderId="26" xfId="3" applyNumberFormat="1" applyFont="1" applyBorder="1"/>
    <xf numFmtId="168" fontId="0" fillId="5" borderId="0" xfId="0" applyNumberFormat="1" applyFill="1"/>
    <xf numFmtId="173" fontId="0" fillId="5" borderId="0" xfId="1" applyNumberFormat="1" applyFont="1" applyFill="1"/>
    <xf numFmtId="171" fontId="0" fillId="5" borderId="0" xfId="2" applyNumberFormat="1" applyFont="1" applyFill="1"/>
    <xf numFmtId="43" fontId="0" fillId="0" borderId="0" xfId="0" applyNumberFormat="1"/>
    <xf numFmtId="0" fontId="2" fillId="0" borderId="0" xfId="0" applyFont="1"/>
    <xf numFmtId="172" fontId="0" fillId="5" borderId="11" xfId="2" applyNumberFormat="1" applyFont="1" applyFill="1" applyBorder="1"/>
    <xf numFmtId="169" fontId="0" fillId="5" borderId="0" xfId="3" applyNumberFormat="1" applyFont="1" applyFill="1"/>
    <xf numFmtId="171" fontId="0" fillId="5" borderId="11" xfId="2" applyNumberFormat="1" applyFont="1" applyFill="1" applyBorder="1"/>
    <xf numFmtId="0" fontId="2" fillId="5" borderId="11" xfId="0" applyFont="1" applyFill="1" applyBorder="1" applyAlignment="1">
      <alignment horizontal="center"/>
    </xf>
    <xf numFmtId="0" fontId="2" fillId="5" borderId="11" xfId="0" applyFont="1" applyFill="1" applyBorder="1" applyAlignment="1">
      <alignment horizontal="center" vertical="center" wrapText="1"/>
    </xf>
    <xf numFmtId="176" fontId="0" fillId="5" borderId="11" xfId="2" applyNumberFormat="1" applyFont="1" applyFill="1" applyBorder="1"/>
    <xf numFmtId="167" fontId="0" fillId="5" borderId="11" xfId="4" applyNumberFormat="1" applyFont="1" applyFill="1" applyBorder="1"/>
    <xf numFmtId="165" fontId="0" fillId="5" borderId="11" xfId="2" applyNumberFormat="1" applyFont="1" applyFill="1" applyBorder="1"/>
    <xf numFmtId="165" fontId="0" fillId="5" borderId="11" xfId="0" applyNumberFormat="1" applyFill="1" applyBorder="1"/>
    <xf numFmtId="0" fontId="2" fillId="5" borderId="11" xfId="0" applyFont="1" applyFill="1" applyBorder="1"/>
    <xf numFmtId="165" fontId="2" fillId="5" borderId="11" xfId="0" applyNumberFormat="1" applyFont="1" applyFill="1" applyBorder="1"/>
    <xf numFmtId="0" fontId="0" fillId="5" borderId="21" xfId="0" applyFill="1" applyBorder="1"/>
    <xf numFmtId="169" fontId="0" fillId="5" borderId="11" xfId="3" applyNumberFormat="1" applyFont="1" applyFill="1" applyBorder="1"/>
    <xf numFmtId="167" fontId="0" fillId="5" borderId="11" xfId="0" applyNumberFormat="1" applyFill="1" applyBorder="1"/>
    <xf numFmtId="169" fontId="0" fillId="5" borderId="0" xfId="0" applyNumberFormat="1" applyFill="1"/>
    <xf numFmtId="169" fontId="2" fillId="5" borderId="11" xfId="3" applyNumberFormat="1" applyFont="1" applyFill="1" applyBorder="1"/>
    <xf numFmtId="6" fontId="0" fillId="5" borderId="0" xfId="0" applyNumberFormat="1" applyFill="1"/>
    <xf numFmtId="0" fontId="0" fillId="5" borderId="11" xfId="0" applyFill="1" applyBorder="1" applyAlignment="1">
      <alignment horizontal="center"/>
    </xf>
    <xf numFmtId="167" fontId="0" fillId="5" borderId="11" xfId="0" applyNumberFormat="1" applyFill="1" applyBorder="1" applyAlignment="1">
      <alignment horizontal="center"/>
    </xf>
    <xf numFmtId="171" fontId="0" fillId="5" borderId="11" xfId="0" applyNumberFormat="1" applyFill="1" applyBorder="1"/>
    <xf numFmtId="172" fontId="2" fillId="5" borderId="11" xfId="2" applyNumberFormat="1" applyFont="1" applyFill="1" applyBorder="1"/>
    <xf numFmtId="179" fontId="0" fillId="5" borderId="0" xfId="0" applyNumberFormat="1" applyFill="1"/>
    <xf numFmtId="180" fontId="0" fillId="5" borderId="0" xfId="0" applyNumberFormat="1" applyFill="1"/>
    <xf numFmtId="173" fontId="0" fillId="5" borderId="11" xfId="1" applyNumberFormat="1" applyFont="1" applyFill="1" applyBorder="1"/>
    <xf numFmtId="44" fontId="0" fillId="5" borderId="0" xfId="0" applyNumberFormat="1" applyFill="1"/>
    <xf numFmtId="10" fontId="0" fillId="5" borderId="0" xfId="3" applyNumberFormat="1" applyFont="1" applyFill="1"/>
    <xf numFmtId="172" fontId="3" fillId="0" borderId="0" xfId="2" applyNumberFormat="1" applyFont="1"/>
    <xf numFmtId="181" fontId="3" fillId="0" borderId="0" xfId="5" applyNumberFormat="1"/>
    <xf numFmtId="182" fontId="3" fillId="0" borderId="0" xfId="3" applyNumberFormat="1" applyFont="1"/>
    <xf numFmtId="0" fontId="6" fillId="0" borderId="0" xfId="5" applyFont="1" applyAlignment="1">
      <alignment horizontal="left" vertical="top" wrapText="1"/>
    </xf>
    <xf numFmtId="0" fontId="32" fillId="6" borderId="16" xfId="9" applyFill="1" applyBorder="1" applyAlignment="1" applyProtection="1">
      <alignment horizontal="left" vertical="center"/>
      <protection locked="0"/>
    </xf>
    <xf numFmtId="0" fontId="3" fillId="6" borderId="17" xfId="0" applyFont="1" applyFill="1" applyBorder="1" applyAlignment="1" applyProtection="1">
      <alignment horizontal="left" vertical="center"/>
      <protection locked="0"/>
    </xf>
    <xf numFmtId="0" fontId="26" fillId="5" borderId="0" xfId="0" applyFont="1" applyFill="1"/>
    <xf numFmtId="0" fontId="0" fillId="8" borderId="12" xfId="0" applyFill="1" applyBorder="1" applyAlignment="1" applyProtection="1">
      <alignment horizontal="left" vertical="center" wrapText="1"/>
      <protection locked="0"/>
    </xf>
    <xf numFmtId="0" fontId="0" fillId="8" borderId="13" xfId="0" applyFill="1" applyBorder="1" applyAlignment="1" applyProtection="1">
      <alignment horizontal="left" vertical="center" wrapText="1"/>
      <protection locked="0"/>
    </xf>
    <xf numFmtId="0" fontId="3" fillId="6" borderId="16" xfId="0" applyFont="1" applyFill="1" applyBorder="1" applyAlignment="1" applyProtection="1">
      <alignment horizontal="left" vertical="center"/>
      <protection locked="0"/>
    </xf>
    <xf numFmtId="172" fontId="19" fillId="6" borderId="0" xfId="0" applyNumberFormat="1" applyFont="1" applyFill="1" applyAlignment="1">
      <alignment horizontal="center"/>
    </xf>
    <xf numFmtId="164" fontId="10" fillId="6" borderId="0" xfId="6" applyFont="1" applyFill="1" applyAlignment="1" applyProtection="1">
      <alignment horizontal="center"/>
      <protection locked="0"/>
    </xf>
    <xf numFmtId="164" fontId="10" fillId="6" borderId="0" xfId="0" applyNumberFormat="1" applyFont="1" applyFill="1" applyAlignment="1">
      <alignment horizontal="center"/>
    </xf>
    <xf numFmtId="164" fontId="10" fillId="3" borderId="0" xfId="6" applyFont="1" applyFill="1" applyAlignment="1" applyProtection="1">
      <alignment horizontal="center"/>
    </xf>
    <xf numFmtId="0" fontId="18" fillId="0" borderId="0" xfId="0" applyFont="1" applyAlignment="1">
      <alignment horizontal="center" vertical="center"/>
    </xf>
    <xf numFmtId="0" fontId="10" fillId="0" borderId="0" xfId="0" applyFont="1" applyAlignment="1">
      <alignment horizontal="center"/>
    </xf>
    <xf numFmtId="0" fontId="0" fillId="0" borderId="0" xfId="0"/>
    <xf numFmtId="164" fontId="10" fillId="6" borderId="0" xfId="0" applyNumberFormat="1" applyFont="1" applyFill="1" applyAlignment="1" applyProtection="1">
      <alignment horizontal="center"/>
      <protection locked="0"/>
    </xf>
    <xf numFmtId="0" fontId="9" fillId="7" borderId="0" xfId="0" applyFont="1" applyFill="1" applyAlignment="1">
      <alignment horizontal="center" vertical="center" wrapText="1"/>
    </xf>
    <xf numFmtId="0" fontId="11" fillId="7" borderId="0" xfId="0" applyFont="1" applyFill="1" applyAlignment="1">
      <alignment horizontal="center" vertical="center" wrapText="1"/>
    </xf>
    <xf numFmtId="171" fontId="10" fillId="3" borderId="0" xfId="6" applyNumberFormat="1" applyFont="1" applyFill="1" applyAlignment="1" applyProtection="1">
      <alignment horizontal="right"/>
    </xf>
    <xf numFmtId="171" fontId="10" fillId="5" borderId="0" xfId="6" applyNumberFormat="1" applyFont="1" applyFill="1" applyAlignment="1" applyProtection="1">
      <alignment horizontal="center"/>
    </xf>
    <xf numFmtId="164" fontId="10" fillId="3" borderId="0" xfId="6" applyFont="1" applyFill="1" applyAlignment="1" applyProtection="1"/>
    <xf numFmtId="171" fontId="10" fillId="3" borderId="0" xfId="6" applyNumberFormat="1" applyFont="1" applyFill="1" applyAlignment="1" applyProtection="1"/>
    <xf numFmtId="0" fontId="11" fillId="4" borderId="0" xfId="0" applyFont="1" applyFill="1" applyAlignment="1">
      <alignment horizontal="center" vertical="center" wrapText="1"/>
    </xf>
    <xf numFmtId="0" fontId="9" fillId="4" borderId="0" xfId="5" applyFont="1" applyFill="1" applyAlignment="1">
      <alignment horizontal="center" vertical="center"/>
    </xf>
    <xf numFmtId="0" fontId="7" fillId="3" borderId="0" xfId="5" applyFont="1" applyFill="1" applyAlignment="1">
      <alignment horizontal="center" wrapText="1"/>
    </xf>
    <xf numFmtId="0" fontId="7" fillId="0" borderId="0" xfId="5" applyFont="1" applyAlignment="1">
      <alignment horizontal="left" vertical="top" wrapText="1"/>
    </xf>
    <xf numFmtId="0" fontId="0" fillId="0" borderId="0" xfId="0" applyAlignment="1">
      <alignment wrapText="1"/>
    </xf>
    <xf numFmtId="0" fontId="24" fillId="0" borderId="0" xfId="5" applyFont="1" applyAlignment="1">
      <alignment horizontal="left" vertical="top" wrapText="1"/>
    </xf>
    <xf numFmtId="173" fontId="7" fillId="0" borderId="0" xfId="5" applyNumberFormat="1" applyFont="1" applyAlignment="1">
      <alignment horizontal="center" vertical="center"/>
    </xf>
    <xf numFmtId="0" fontId="2" fillId="5" borderId="11" xfId="0" applyFont="1" applyFill="1" applyBorder="1" applyAlignment="1">
      <alignment horizontal="center"/>
    </xf>
  </cellXfs>
  <cellStyles count="10">
    <cellStyle name="Comma" xfId="1" builtinId="3"/>
    <cellStyle name="Comma 2" xfId="4" xr:uid="{C35F8854-0603-41AD-9C3C-046795FAD5A6}"/>
    <cellStyle name="Comma 4" xfId="7" xr:uid="{DAA626F2-90EB-44C2-853D-85C7339DFF6D}"/>
    <cellStyle name="Currency" xfId="2" builtinId="4"/>
    <cellStyle name="Currency 2" xfId="6" xr:uid="{673D4685-675C-4B0F-9770-09CB055D4D58}"/>
    <cellStyle name="Hyperlink" xfId="9" builtinId="8"/>
    <cellStyle name="Normal" xfId="0" builtinId="0"/>
    <cellStyle name="Normal 2" xfId="5" xr:uid="{744F9B0C-A8F2-4670-A74A-4EF43021B24E}"/>
    <cellStyle name="Normal 2 2 2 2 2" xfId="8" xr:uid="{8ED9CCDA-8BB9-4A33-8D1D-1758C22514CE}"/>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9</xdr:col>
      <xdr:colOff>447675</xdr:colOff>
      <xdr:row>11</xdr:row>
      <xdr:rowOff>123825</xdr:rowOff>
    </xdr:from>
    <xdr:to>
      <xdr:col>11</xdr:col>
      <xdr:colOff>276225</xdr:colOff>
      <xdr:row>13</xdr:row>
      <xdr:rowOff>9525</xdr:rowOff>
    </xdr:to>
    <xdr:sp macro="" textlink="$AC$2">
      <xdr:nvSpPr>
        <xdr:cNvPr id="2" name="Text Box 13">
          <a:extLst>
            <a:ext uri="{FF2B5EF4-FFF2-40B4-BE49-F238E27FC236}">
              <a16:creationId xmlns:a16="http://schemas.microsoft.com/office/drawing/2014/main" id="{30D97225-71CE-4A06-BDA5-419ECB59B4FB}"/>
            </a:ext>
          </a:extLst>
        </xdr:cNvPr>
        <xdr:cNvSpPr txBox="1">
          <a:spLocks noChangeArrowheads="1" noTextEdit="1"/>
        </xdr:cNvSpPr>
      </xdr:nvSpPr>
      <xdr:spPr bwMode="auto">
        <a:xfrm>
          <a:off x="10597515" y="2539365"/>
          <a:ext cx="1108710"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D53C0AAD-5608-4FD2-8267-5C09276FD61F}" type="TxLink">
            <a:rPr lang="en-CA" sz="1200" b="1" i="0" u="none" strike="noStrike" baseline="0">
              <a:solidFill>
                <a:srgbClr val="FFFFFF"/>
              </a:solidFill>
              <a:latin typeface="Book Antiqua"/>
            </a:rPr>
            <a:pPr algn="l" rtl="0">
              <a:defRPr sz="1000"/>
            </a:pPr>
            <a:t>v 1.0
</a:t>
          </a:fld>
          <a:endParaRPr lang="en-CA" sz="1200" b="1" i="0" u="none" strike="noStrike" baseline="0">
            <a:solidFill>
              <a:srgbClr val="FFFFFF"/>
            </a:solidFill>
            <a:latin typeface="Book Antiqua"/>
          </a:endParaRPr>
        </a:p>
      </xdr:txBody>
    </xdr:sp>
    <xdr:clientData/>
  </xdr:twoCellAnchor>
  <xdr:twoCellAnchor>
    <xdr:from>
      <xdr:col>15</xdr:col>
      <xdr:colOff>142875</xdr:colOff>
      <xdr:row>11</xdr:row>
      <xdr:rowOff>142875</xdr:rowOff>
    </xdr:from>
    <xdr:to>
      <xdr:col>16</xdr:col>
      <xdr:colOff>581025</xdr:colOff>
      <xdr:row>13</xdr:row>
      <xdr:rowOff>28575</xdr:rowOff>
    </xdr:to>
    <xdr:sp macro="" textlink="$AF$2">
      <xdr:nvSpPr>
        <xdr:cNvPr id="3" name="Text Box 15">
          <a:extLst>
            <a:ext uri="{FF2B5EF4-FFF2-40B4-BE49-F238E27FC236}">
              <a16:creationId xmlns:a16="http://schemas.microsoft.com/office/drawing/2014/main" id="{3A8161DB-EEE4-4E54-A71B-C1BA70DCF549}"/>
            </a:ext>
          </a:extLst>
        </xdr:cNvPr>
        <xdr:cNvSpPr txBox="1">
          <a:spLocks noChangeArrowheads="1" noTextEdit="1"/>
        </xdr:cNvSpPr>
      </xdr:nvSpPr>
      <xdr:spPr bwMode="auto">
        <a:xfrm>
          <a:off x="14133195" y="2535555"/>
          <a:ext cx="107823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96F1C653-4D3F-4F04-8B04-6236CB6801DC}"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15</xdr:col>
      <xdr:colOff>197783</xdr:colOff>
      <xdr:row>13</xdr:row>
      <xdr:rowOff>10645</xdr:rowOff>
    </xdr:from>
    <xdr:to>
      <xdr:col>17</xdr:col>
      <xdr:colOff>8404</xdr:colOff>
      <xdr:row>14</xdr:row>
      <xdr:rowOff>58270</xdr:rowOff>
    </xdr:to>
    <xdr:sp macro="" textlink="$AE$2">
      <xdr:nvSpPr>
        <xdr:cNvPr id="4" name="Text Box 16">
          <a:extLst>
            <a:ext uri="{FF2B5EF4-FFF2-40B4-BE49-F238E27FC236}">
              <a16:creationId xmlns:a16="http://schemas.microsoft.com/office/drawing/2014/main" id="{B7BF41EC-DD2B-4645-8746-48C0141223AB}"/>
            </a:ext>
          </a:extLst>
        </xdr:cNvPr>
        <xdr:cNvSpPr txBox="1">
          <a:spLocks noChangeArrowheads="1" noTextEdit="1"/>
        </xdr:cNvSpPr>
      </xdr:nvSpPr>
      <xdr:spPr bwMode="auto">
        <a:xfrm>
          <a:off x="14188103" y="2746225"/>
          <a:ext cx="1090781"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E99C592E-8602-4355-A1BD-C000791BFB10}"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9</xdr:col>
      <xdr:colOff>447675</xdr:colOff>
      <xdr:row>13</xdr:row>
      <xdr:rowOff>38100</xdr:rowOff>
    </xdr:from>
    <xdr:to>
      <xdr:col>11</xdr:col>
      <xdr:colOff>276225</xdr:colOff>
      <xdr:row>14</xdr:row>
      <xdr:rowOff>85725</xdr:rowOff>
    </xdr:to>
    <xdr:sp macro="" textlink="$AD$2">
      <xdr:nvSpPr>
        <xdr:cNvPr id="5" name="Text Box 17">
          <a:extLst>
            <a:ext uri="{FF2B5EF4-FFF2-40B4-BE49-F238E27FC236}">
              <a16:creationId xmlns:a16="http://schemas.microsoft.com/office/drawing/2014/main" id="{BEBE4694-4AD1-4407-8812-3D0931E62EF1}"/>
            </a:ext>
          </a:extLst>
        </xdr:cNvPr>
        <xdr:cNvSpPr txBox="1">
          <a:spLocks noChangeArrowheads="1" noTextEdit="1"/>
        </xdr:cNvSpPr>
      </xdr:nvSpPr>
      <xdr:spPr bwMode="auto">
        <a:xfrm>
          <a:off x="10597515" y="2773680"/>
          <a:ext cx="1108710"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fld id="{6308C6C9-DB12-451F-B33E-E00FCB7BFAEA}" type="TxLink">
            <a:rPr lang="en-CA"/>
            <a:pPr/>
            <a:t> </a:t>
          </a:fld>
          <a:endParaRPr lang="en-CA"/>
        </a:p>
      </xdr:txBody>
    </xdr:sp>
    <xdr:clientData/>
  </xdr:twoCellAnchor>
  <xdr:twoCellAnchor>
    <xdr:from>
      <xdr:col>0</xdr:col>
      <xdr:colOff>0</xdr:colOff>
      <xdr:row>27</xdr:row>
      <xdr:rowOff>19049</xdr:rowOff>
    </xdr:from>
    <xdr:to>
      <xdr:col>4</xdr:col>
      <xdr:colOff>2065020</xdr:colOff>
      <xdr:row>34</xdr:row>
      <xdr:rowOff>142874</xdr:rowOff>
    </xdr:to>
    <xdr:sp macro="" textlink="">
      <xdr:nvSpPr>
        <xdr:cNvPr id="6" name="Text Box 50">
          <a:extLst>
            <a:ext uri="{FF2B5EF4-FFF2-40B4-BE49-F238E27FC236}">
              <a16:creationId xmlns:a16="http://schemas.microsoft.com/office/drawing/2014/main" id="{C524F8A5-8DED-4277-BC79-EC8099AD2AB1}"/>
            </a:ext>
          </a:extLst>
        </xdr:cNvPr>
        <xdr:cNvSpPr txBox="1">
          <a:spLocks noChangeArrowheads="1"/>
        </xdr:cNvSpPr>
      </xdr:nvSpPr>
      <xdr:spPr bwMode="auto">
        <a:xfrm>
          <a:off x="0" y="5604509"/>
          <a:ext cx="7261860" cy="151066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9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9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9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900" b="1" i="1"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7</xdr:col>
      <xdr:colOff>244280</xdr:colOff>
      <xdr:row>9</xdr:row>
      <xdr:rowOff>1241</xdr:rowOff>
    </xdr:to>
    <xdr:grpSp>
      <xdr:nvGrpSpPr>
        <xdr:cNvPr id="7" name="Group 6">
          <a:extLst>
            <a:ext uri="{FF2B5EF4-FFF2-40B4-BE49-F238E27FC236}">
              <a16:creationId xmlns:a16="http://schemas.microsoft.com/office/drawing/2014/main" id="{B1093A39-9B77-47C6-968D-06421C6D0A5B}"/>
            </a:ext>
          </a:extLst>
        </xdr:cNvPr>
        <xdr:cNvGrpSpPr/>
      </xdr:nvGrpSpPr>
      <xdr:grpSpPr>
        <a:xfrm>
          <a:off x="0" y="0"/>
          <a:ext cx="8873930" cy="2268191"/>
          <a:chOff x="7801016" y="4233022"/>
          <a:chExt cx="8857415" cy="1915766"/>
        </a:xfrm>
      </xdr:grpSpPr>
      <xdr:pic>
        <xdr:nvPicPr>
          <xdr:cNvPr id="8" name="Picture 7">
            <a:extLst>
              <a:ext uri="{FF2B5EF4-FFF2-40B4-BE49-F238E27FC236}">
                <a16:creationId xmlns:a16="http://schemas.microsoft.com/office/drawing/2014/main" id="{E68C9A44-C34F-0D28-9E32-D873C2838DFE}"/>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801016" y="4233022"/>
            <a:ext cx="8857415" cy="1915766"/>
          </a:xfrm>
          <a:prstGeom prst="rect">
            <a:avLst/>
          </a:prstGeom>
          <a:ln>
            <a:noFill/>
          </a:ln>
          <a:effectLst>
            <a:softEdge rad="112500"/>
          </a:effectLst>
        </xdr:spPr>
      </xdr:pic>
      <xdr:sp macro="" textlink="$AC$2">
        <xdr:nvSpPr>
          <xdr:cNvPr id="9" name="TextBox 8">
            <a:extLst>
              <a:ext uri="{FF2B5EF4-FFF2-40B4-BE49-F238E27FC236}">
                <a16:creationId xmlns:a16="http://schemas.microsoft.com/office/drawing/2014/main" id="{03D465CF-5E52-1AA3-D070-0D2F7E273B66}"/>
              </a:ext>
            </a:extLst>
          </xdr:cNvPr>
          <xdr:cNvSpPr txBox="1"/>
        </xdr:nvSpPr>
        <xdr:spPr>
          <a:xfrm>
            <a:off x="15840066" y="4438650"/>
            <a:ext cx="54014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33E85EEF-DD87-4B9A-A504-157995BC64C1}" type="TxLink">
              <a:rPr lang="en-US" sz="1400" b="0" i="0" u="none" strike="noStrike">
                <a:solidFill>
                  <a:srgbClr val="000000"/>
                </a:solidFill>
                <a:latin typeface="Arial"/>
                <a:cs typeface="Arial"/>
              </a:rPr>
              <a:pPr/>
              <a:t>v 1.0
</a:t>
            </a:fld>
            <a:endParaRPr lang="en-CA" sz="2400" b="1"/>
          </a:p>
        </xdr:txBody>
      </xdr:sp>
      <xdr:sp macro="" textlink="$AC$1">
        <xdr:nvSpPr>
          <xdr:cNvPr id="10" name="Rectangle 9">
            <a:extLst>
              <a:ext uri="{FF2B5EF4-FFF2-40B4-BE49-F238E27FC236}">
                <a16:creationId xmlns:a16="http://schemas.microsoft.com/office/drawing/2014/main" id="{248EC41A-87A9-26AE-8EBD-2227902245B3}"/>
              </a:ext>
            </a:extLst>
          </xdr:cNvPr>
          <xdr:cNvSpPr/>
        </xdr:nvSpPr>
        <xdr:spPr>
          <a:xfrm>
            <a:off x="7801016" y="4660974"/>
            <a:ext cx="8566565" cy="115581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fld id="{E3B1A34D-5963-474D-8AFE-4B9EA71F55BE}" type="TxLink">
              <a:rPr lang="en-US" sz="4400" b="0" i="0" u="none" strike="noStrike" cap="none" spc="0" baseline="0">
                <a:ln w="11430">
                  <a:solidFill>
                    <a:schemeClr val="tx1">
                      <a:lumMod val="95000"/>
                      <a:lumOff val="5000"/>
                    </a:schemeClr>
                  </a:solidFill>
                </a:ln>
                <a:solidFill>
                  <a:srgbClr val="000000"/>
                </a:solidFill>
                <a:effectLst>
                  <a:outerShdw blurRad="60007" dist="200025" dir="15000000" sy="30000" kx="-1800000" algn="bl" rotWithShape="0">
                    <a:prstClr val="black">
                      <a:alpha val="32000"/>
                    </a:prstClr>
                  </a:outerShdw>
                </a:effectLst>
                <a:latin typeface="Calibri"/>
                <a:ea typeface="+mn-ea"/>
                <a:cs typeface="Calibri"/>
              </a:rPr>
              <a:pPr algn="ctr" rtl="0"/>
              <a:t>2026 RTSR Workform 
for Electricity Distributors
</a:t>
            </a:fld>
            <a:endParaRPr lang="en-CA" sz="714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sp macro="" textlink="">
        <xdr:nvSpPr>
          <xdr:cNvPr id="11" name="Rectangle 10">
            <a:extLst>
              <a:ext uri="{FF2B5EF4-FFF2-40B4-BE49-F238E27FC236}">
                <a16:creationId xmlns:a16="http://schemas.microsoft.com/office/drawing/2014/main" id="{84499A78-E061-4F6D-92B8-885D791EF634}"/>
              </a:ext>
            </a:extLst>
          </xdr:cNvPr>
          <xdr:cNvSpPr/>
        </xdr:nvSpPr>
        <xdr:spPr>
          <a:xfrm>
            <a:off x="8394964" y="4415895"/>
            <a:ext cx="2583212"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pic>
        <xdr:nvPicPr>
          <xdr:cNvPr id="12" name="Picture 11">
            <a:extLst>
              <a:ext uri="{FF2B5EF4-FFF2-40B4-BE49-F238E27FC236}">
                <a16:creationId xmlns:a16="http://schemas.microsoft.com/office/drawing/2014/main" id="{F7D15057-6F41-A843-BA2A-9218F6C5F4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8044899" y="443662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323020</xdr:colOff>
      <xdr:row>11</xdr:row>
      <xdr:rowOff>134591</xdr:rowOff>
    </xdr:to>
    <xdr:pic>
      <xdr:nvPicPr>
        <xdr:cNvPr id="7" name="Picture 6">
          <a:extLst>
            <a:ext uri="{FF2B5EF4-FFF2-40B4-BE49-F238E27FC236}">
              <a16:creationId xmlns:a16="http://schemas.microsoft.com/office/drawing/2014/main" id="{15F10CB8-8A43-4B68-96DC-6ED8E13513CB}"/>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978631"/>
        </a:xfrm>
        <a:prstGeom prst="rect">
          <a:avLst/>
        </a:prstGeom>
        <a:ln>
          <a:noFill/>
        </a:ln>
        <a:effectLst>
          <a:softEdge rad="112500"/>
        </a:effectLst>
      </xdr:spPr>
    </xdr:pic>
    <xdr:clientData/>
  </xdr:twoCellAnchor>
  <xdr:twoCellAnchor>
    <xdr:from>
      <xdr:col>13</xdr:col>
      <xdr:colOff>66675</xdr:colOff>
      <xdr:row>1</xdr:row>
      <xdr:rowOff>19050</xdr:rowOff>
    </xdr:from>
    <xdr:to>
      <xdr:col>13</xdr:col>
      <xdr:colOff>606823</xdr:colOff>
      <xdr:row>3</xdr:row>
      <xdr:rowOff>6696</xdr:rowOff>
    </xdr:to>
    <xdr:sp macro="" textlink="">
      <xdr:nvSpPr>
        <xdr:cNvPr id="8" name="TextBox 7">
          <a:extLst>
            <a:ext uri="{FF2B5EF4-FFF2-40B4-BE49-F238E27FC236}">
              <a16:creationId xmlns:a16="http://schemas.microsoft.com/office/drawing/2014/main" id="{ABE7CC2F-A064-40D1-A1FF-C977EE7D4056}"/>
            </a:ext>
          </a:extLst>
        </xdr:cNvPr>
        <xdr:cNvSpPr txBox="1"/>
      </xdr:nvSpPr>
      <xdr:spPr>
        <a:xfrm>
          <a:off x="7991475" y="186690"/>
          <a:ext cx="540148" cy="3229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B1234A42-87C3-40EF-965C-3F7C162A5AFC}" type="TxLink">
            <a:rPr lang="en-US" sz="1000" b="0" i="0" u="none" strike="noStrike">
              <a:solidFill>
                <a:srgbClr val="000000"/>
              </a:solidFill>
              <a:latin typeface="Arial"/>
              <a:cs typeface="Arial"/>
            </a:rPr>
            <a:pPr/>
            <a:t>v 1.0
</a:t>
          </a:fld>
          <a:endParaRPr lang="en-CA" sz="1400" b="1"/>
        </a:p>
      </xdr:txBody>
    </xdr:sp>
    <xdr:clientData/>
  </xdr:twoCellAnchor>
  <xdr:twoCellAnchor>
    <xdr:from>
      <xdr:col>0</xdr:col>
      <xdr:colOff>137211</xdr:colOff>
      <xdr:row>2</xdr:row>
      <xdr:rowOff>120536</xdr:rowOff>
    </xdr:from>
    <xdr:to>
      <xdr:col>14</xdr:col>
      <xdr:colOff>169381</xdr:colOff>
      <xdr:row>9</xdr:row>
      <xdr:rowOff>142875</xdr:rowOff>
    </xdr:to>
    <xdr:sp macro="" textlink="">
      <xdr:nvSpPr>
        <xdr:cNvPr id="9" name="Rectangle 8">
          <a:extLst>
            <a:ext uri="{FF2B5EF4-FFF2-40B4-BE49-F238E27FC236}">
              <a16:creationId xmlns:a16="http://schemas.microsoft.com/office/drawing/2014/main" id="{F8944023-1843-4EDA-8DDC-A734AD99CE33}"/>
            </a:ext>
          </a:extLst>
        </xdr:cNvPr>
        <xdr:cNvSpPr/>
      </xdr:nvSpPr>
      <xdr:spPr>
        <a:xfrm>
          <a:off x="137211" y="455816"/>
          <a:ext cx="8566570" cy="119581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fld id="{BDC1165C-D6C2-4690-BF94-A3754D73B883}" type="TxLink">
            <a:rPr lang="en-US" sz="3600" b="0" i="0" u="none" strike="noStrike" cap="none" spc="0" baseline="0">
              <a:ln w="11430">
                <a:solidFill>
                  <a:schemeClr val="tx1">
                    <a:lumMod val="95000"/>
                    <a:lumOff val="5000"/>
                  </a:schemeClr>
                </a:solidFill>
              </a:ln>
              <a:solidFill>
                <a:srgbClr val="000000"/>
              </a:solidFill>
              <a:effectLst>
                <a:outerShdw blurRad="60007" dist="200025" dir="15000000" sy="30000" kx="-1800000" algn="bl" rotWithShape="0">
                  <a:prstClr val="black">
                    <a:alpha val="32000"/>
                  </a:prstClr>
                </a:outerShdw>
              </a:effectLst>
              <a:latin typeface="Calibri"/>
              <a:ea typeface="+mn-ea"/>
              <a:cs typeface="Calibri"/>
            </a:rPr>
            <a:pPr algn="ctr" rtl="0"/>
            <a:t>2026 RTSR Workform 
for Electricity Distributors
</a:t>
          </a:fld>
          <a:endParaRPr lang="en-CA" sz="9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546371</xdr:colOff>
      <xdr:row>0</xdr:row>
      <xdr:rowOff>158221</xdr:rowOff>
    </xdr:from>
    <xdr:to>
      <xdr:col>5</xdr:col>
      <xdr:colOff>81585</xdr:colOff>
      <xdr:row>3</xdr:row>
      <xdr:rowOff>8696</xdr:rowOff>
    </xdr:to>
    <xdr:sp macro="" textlink="">
      <xdr:nvSpPr>
        <xdr:cNvPr id="10" name="Rectangle 9">
          <a:extLst>
            <a:ext uri="{FF2B5EF4-FFF2-40B4-BE49-F238E27FC236}">
              <a16:creationId xmlns:a16="http://schemas.microsoft.com/office/drawing/2014/main" id="{35A5AFDA-1DF0-4019-974D-9B076A1D548D}"/>
            </a:ext>
          </a:extLst>
        </xdr:cNvPr>
        <xdr:cNvSpPr/>
      </xdr:nvSpPr>
      <xdr:spPr>
        <a:xfrm>
          <a:off x="546371" y="158221"/>
          <a:ext cx="2583214" cy="353395"/>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196299</xdr:colOff>
      <xdr:row>1</xdr:row>
      <xdr:rowOff>17025</xdr:rowOff>
    </xdr:from>
    <xdr:to>
      <xdr:col>0</xdr:col>
      <xdr:colOff>585581</xdr:colOff>
      <xdr:row>3</xdr:row>
      <xdr:rowOff>71320</xdr:rowOff>
    </xdr:to>
    <xdr:pic>
      <xdr:nvPicPr>
        <xdr:cNvPr id="11" name="Picture 10">
          <a:extLst>
            <a:ext uri="{FF2B5EF4-FFF2-40B4-BE49-F238E27FC236}">
              <a16:creationId xmlns:a16="http://schemas.microsoft.com/office/drawing/2014/main" id="{C35C4584-49B8-42AD-9F52-DF7C0FA26FE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6299" y="184665"/>
          <a:ext cx="389282" cy="38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17357</xdr:colOff>
      <xdr:row>0</xdr:row>
      <xdr:rowOff>17356</xdr:rowOff>
    </xdr:from>
    <xdr:to>
      <xdr:col>11</xdr:col>
      <xdr:colOff>606686</xdr:colOff>
      <xdr:row>13</xdr:row>
      <xdr:rowOff>18600</xdr:rowOff>
    </xdr:to>
    <xdr:grpSp>
      <xdr:nvGrpSpPr>
        <xdr:cNvPr id="2" name="Group 1">
          <a:extLst>
            <a:ext uri="{FF2B5EF4-FFF2-40B4-BE49-F238E27FC236}">
              <a16:creationId xmlns:a16="http://schemas.microsoft.com/office/drawing/2014/main" id="{EB2D56D7-5BC7-479E-B174-C7BAC0994EA3}"/>
            </a:ext>
          </a:extLst>
        </xdr:cNvPr>
        <xdr:cNvGrpSpPr/>
      </xdr:nvGrpSpPr>
      <xdr:grpSpPr>
        <a:xfrm>
          <a:off x="798407" y="17356"/>
          <a:ext cx="13305204" cy="2191994"/>
          <a:chOff x="200024" y="4499942"/>
          <a:chExt cx="8857420" cy="1915766"/>
        </a:xfrm>
      </xdr:grpSpPr>
      <xdr:pic>
        <xdr:nvPicPr>
          <xdr:cNvPr id="3" name="Picture 2">
            <a:extLst>
              <a:ext uri="{FF2B5EF4-FFF2-40B4-BE49-F238E27FC236}">
                <a16:creationId xmlns:a16="http://schemas.microsoft.com/office/drawing/2014/main" id="{2DDEE3F4-3FCF-773A-58F1-D616FCD9935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D15CE587-9BBB-4999-1B57-35F5F42347B8}"/>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12448F6-A6E7-CED3-C844-48631C7323C3}"/>
              </a:ext>
            </a:extLst>
          </xdr:cNvPr>
          <xdr:cNvSpPr/>
        </xdr:nvSpPr>
        <xdr:spPr>
          <a:xfrm>
            <a:off x="337235" y="4917469"/>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9AE6D39-ACC5-4824-506A-DF77E4657FB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6C1C54F4-FCAD-9D29-0B41-AE7B7E64319F}"/>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38099</xdr:colOff>
      <xdr:row>0</xdr:row>
      <xdr:rowOff>20955</xdr:rowOff>
    </xdr:from>
    <xdr:to>
      <xdr:col>16</xdr:col>
      <xdr:colOff>76199</xdr:colOff>
      <xdr:row>11</xdr:row>
      <xdr:rowOff>57151</xdr:rowOff>
    </xdr:to>
    <xdr:grpSp>
      <xdr:nvGrpSpPr>
        <xdr:cNvPr id="2" name="Group 1">
          <a:extLst>
            <a:ext uri="{FF2B5EF4-FFF2-40B4-BE49-F238E27FC236}">
              <a16:creationId xmlns:a16="http://schemas.microsoft.com/office/drawing/2014/main" id="{834ADEBC-0FBE-4367-83B6-8E6FC94FB420}"/>
            </a:ext>
          </a:extLst>
        </xdr:cNvPr>
        <xdr:cNvGrpSpPr/>
      </xdr:nvGrpSpPr>
      <xdr:grpSpPr>
        <a:xfrm>
          <a:off x="38099" y="20955"/>
          <a:ext cx="11715750" cy="1817371"/>
          <a:chOff x="200024" y="4499942"/>
          <a:chExt cx="8857420" cy="1915766"/>
        </a:xfrm>
      </xdr:grpSpPr>
      <xdr:pic>
        <xdr:nvPicPr>
          <xdr:cNvPr id="3" name="Picture 2">
            <a:extLst>
              <a:ext uri="{FF2B5EF4-FFF2-40B4-BE49-F238E27FC236}">
                <a16:creationId xmlns:a16="http://schemas.microsoft.com/office/drawing/2014/main" id="{63C1C1D8-CC8E-4FAF-E01E-772F5C270C5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0DFCC27D-E07D-A031-6DA9-FA987310EB63}"/>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724780CA-D472-4E88-5BBA-D69D0293222D}"/>
              </a:ext>
            </a:extLst>
          </xdr:cNvPr>
          <xdr:cNvSpPr/>
        </xdr:nvSpPr>
        <xdr:spPr>
          <a:xfrm>
            <a:off x="322821" y="495823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2BF14B40-8352-B35D-5ED6-6F69EC5ED3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7610040F-4903-6FB5-BD31-7120B6724573}"/>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130781</xdr:rowOff>
    </xdr:to>
    <xdr:grpSp>
      <xdr:nvGrpSpPr>
        <xdr:cNvPr id="2" name="Group 1">
          <a:extLst>
            <a:ext uri="{FF2B5EF4-FFF2-40B4-BE49-F238E27FC236}">
              <a16:creationId xmlns:a16="http://schemas.microsoft.com/office/drawing/2014/main" id="{7F1744C7-7D1C-44E6-BEA4-7E731A4EC3A3}"/>
            </a:ext>
          </a:extLst>
        </xdr:cNvPr>
        <xdr:cNvGrpSpPr/>
      </xdr:nvGrpSpPr>
      <xdr:grpSpPr>
        <a:xfrm>
          <a:off x="0" y="0"/>
          <a:ext cx="11953875" cy="1911956"/>
          <a:chOff x="200024" y="4499942"/>
          <a:chExt cx="8857420" cy="1915766"/>
        </a:xfrm>
      </xdr:grpSpPr>
      <xdr:pic>
        <xdr:nvPicPr>
          <xdr:cNvPr id="3" name="Picture 2">
            <a:extLst>
              <a:ext uri="{FF2B5EF4-FFF2-40B4-BE49-F238E27FC236}">
                <a16:creationId xmlns:a16="http://schemas.microsoft.com/office/drawing/2014/main" id="{ECCA8482-560A-105E-4CD0-2980DEBCE4F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BDDDE1E0-BBAE-84FC-F1BE-346FC9B53424}"/>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B90111A-4B15-02A2-BD55-C2141622ACE4}"/>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8E28DF9B-7C7F-F9D5-A7CD-6CD1DECC79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F3B536A9-719F-4903-CEB0-593417BF682C}"/>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7974039-ACC8-4898-B34C-D09202619B99}"/>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646AAE25-A73A-1AF0-C943-0D6AB0276A96}"/>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E49DCB0C-25B5-875A-7E21-7AE4DDF8B007}"/>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B40D8552-0236-91FC-BEEF-A5D384FFDD58}"/>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11E5A0B-72F2-B4E7-D1AA-CF76E0D271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882CC536-723D-8108-3924-D6016844D7E5}"/>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43929D3E-34F2-4665-9B37-5C048512AB8B}"/>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95195A94-4595-8F59-4F59-E18FB077440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2774F49F-DD7B-C661-F0AA-A1E046EF3C9A}"/>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BB6060-4379-8331-26D0-D594E65CCF2A}"/>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1D8637-6898-C61C-7EEB-D10109E66E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DB25EAC2-AC0A-3F9F-074E-27F4A1AFF895}"/>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4FD8600C-D43D-45C9-9F17-8B879B8795DD}"/>
            </a:ext>
          </a:extLst>
        </xdr:cNvPr>
        <xdr:cNvGrpSpPr/>
      </xdr:nvGrpSpPr>
      <xdr:grpSpPr>
        <a:xfrm>
          <a:off x="19049" y="0"/>
          <a:ext cx="16691610" cy="1819275"/>
          <a:chOff x="200024" y="4499942"/>
          <a:chExt cx="9312502" cy="1915766"/>
        </a:xfrm>
      </xdr:grpSpPr>
      <xdr:pic>
        <xdr:nvPicPr>
          <xdr:cNvPr id="3" name="Picture 2">
            <a:extLst>
              <a:ext uri="{FF2B5EF4-FFF2-40B4-BE49-F238E27FC236}">
                <a16:creationId xmlns:a16="http://schemas.microsoft.com/office/drawing/2014/main" id="{239C72E5-FF25-F36D-2C5C-EF91C8111678}"/>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5B50DCC5-E3CD-0156-4D9C-EF0EDA9EA626}"/>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FBF89DAE-404B-52CD-C735-9C640D225977}"/>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CDFB1E08-701C-111B-B9D1-643D7FEBC6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1FF6F658-0914-52FE-FB13-AF65814D05A8}"/>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2A26B785-32C4-4FF6-AB5C-A2FA99B8A6C1}"/>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A892F170-1F23-3E05-1DCF-0F02F81F42CD}"/>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172D3F4E-7DB8-375D-99FA-34AA218175A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3F1E028-FE3E-AAEC-B1D6-9B55297380B8}"/>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4BC773AC-2171-9391-FA3C-FC8C0F2557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DDC2E09-6ABC-D6DA-E094-BCFCEC37699C}"/>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2C412D8-55B2-4D8E-864D-428487F0DE17}"/>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5887754C-21CA-82E2-ECF3-BEAC89E4A86F}"/>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7097783D-5CF4-094F-76F6-A4E34A05DC0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D4CE7DAE-99E5-40AB-80F7-A7B2CBA52EEE}"/>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CF1A047A-BF22-44CB-7CEE-DDE6386597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9B88D2A0-0106-6EC3-CFDC-7AF092EBF8D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130781</xdr:rowOff>
    </xdr:to>
    <xdr:grpSp>
      <xdr:nvGrpSpPr>
        <xdr:cNvPr id="2" name="Group 1">
          <a:extLst>
            <a:ext uri="{FF2B5EF4-FFF2-40B4-BE49-F238E27FC236}">
              <a16:creationId xmlns:a16="http://schemas.microsoft.com/office/drawing/2014/main" id="{3CDF89CA-5CC6-4335-97EF-25B0601C7AF0}"/>
            </a:ext>
          </a:extLst>
        </xdr:cNvPr>
        <xdr:cNvGrpSpPr/>
      </xdr:nvGrpSpPr>
      <xdr:grpSpPr>
        <a:xfrm>
          <a:off x="0" y="0"/>
          <a:ext cx="11953875" cy="1911956"/>
          <a:chOff x="200024" y="4499942"/>
          <a:chExt cx="8857420" cy="1915766"/>
        </a:xfrm>
      </xdr:grpSpPr>
      <xdr:pic>
        <xdr:nvPicPr>
          <xdr:cNvPr id="3" name="Picture 2">
            <a:extLst>
              <a:ext uri="{FF2B5EF4-FFF2-40B4-BE49-F238E27FC236}">
                <a16:creationId xmlns:a16="http://schemas.microsoft.com/office/drawing/2014/main" id="{9DFFC043-49B4-DA8C-0FC3-D66F3FB0A1F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C026E007-8440-7B6D-13AE-F6ECF25A144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ED2136-E4C6-AF13-C2B7-28937662D5DF}"/>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3B73EA2-9847-80CF-3C2D-4CBBBE4E8B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DCC92CE-82B9-671C-7837-402908110E8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19049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FB40331-F2E6-4933-B716-8984A5B0F753}"/>
            </a:ext>
          </a:extLst>
        </xdr:cNvPr>
        <xdr:cNvGrpSpPr/>
      </xdr:nvGrpSpPr>
      <xdr:grpSpPr>
        <a:xfrm>
          <a:off x="19049" y="0"/>
          <a:ext cx="16691610" cy="1819275"/>
          <a:chOff x="200024" y="4499942"/>
          <a:chExt cx="9312502" cy="1915766"/>
        </a:xfrm>
      </xdr:grpSpPr>
      <xdr:pic>
        <xdr:nvPicPr>
          <xdr:cNvPr id="3" name="Picture 2">
            <a:extLst>
              <a:ext uri="{FF2B5EF4-FFF2-40B4-BE49-F238E27FC236}">
                <a16:creationId xmlns:a16="http://schemas.microsoft.com/office/drawing/2014/main" id="{B27448EA-5CEA-6688-6D0D-FE61593808F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109FD3F7-638D-C499-31B4-D9C59D6DE5F7}"/>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3F73A60B-38B1-651A-3612-B67FEEF69A60}"/>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9B40DDFF-95AF-C0F4-B607-6B0D8688BD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15CCFA5E-81CD-5E52-5FDF-10DF8116BE18}"/>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5CA59E44-240C-47AC-8A14-154D65E9CBAF}"/>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F1564120-0578-2AA3-E63E-14768379E802}"/>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A8ADE1A6-DEBD-F480-C6E4-B0AE12A11F7D}"/>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EE58DC85-7C52-E1BD-02D3-D349EBCDDC43}"/>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BC056D39-8729-1904-F3E2-F872589354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C530F7CA-495C-5F3D-C812-13BB0935B219}"/>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38D6489F-4814-4B76-B86C-6F28B04618D6}"/>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BD1F47CC-216A-0098-69C8-F222D6B31BC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C1AECC92-31EB-4E9B-15FF-FC889F64F8E6}"/>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1B37EA50-226F-C74C-B520-9E419D0EA511}"/>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E49DE636-EABB-CE5A-D37E-9FB4312F0A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7F68703-2163-6701-BC63-D71E5312C98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stevens@elexiconenergy.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6CACF-7793-47CD-932D-2F815714CDDF}">
  <dimension ref="A1:AH108"/>
  <sheetViews>
    <sheetView workbookViewId="0">
      <selection activeCell="K26" sqref="K26"/>
    </sheetView>
  </sheetViews>
  <sheetFormatPr defaultColWidth="9.28515625" defaultRowHeight="15.75" zeroHeight="1" x14ac:dyDescent="0.25"/>
  <cols>
    <col min="1" max="1" width="14.7109375" style="116" customWidth="1"/>
    <col min="2" max="2" width="11.42578125" style="116" hidden="1" customWidth="1"/>
    <col min="3" max="3" width="26.7109375" style="116" customWidth="1"/>
    <col min="4" max="4" width="34.42578125" style="116" customWidth="1"/>
    <col min="5" max="5" width="30.7109375" style="135" customWidth="1"/>
    <col min="6" max="6" width="13.5703125" style="116" customWidth="1"/>
    <col min="7" max="25" width="9.28515625" style="116"/>
    <col min="26" max="26" width="8.5703125" style="116" customWidth="1"/>
    <col min="27" max="27" width="3.7109375" style="136" customWidth="1"/>
    <col min="28" max="28" width="67.7109375" style="136" hidden="1" customWidth="1"/>
    <col min="29" max="29" width="36" style="136" hidden="1" customWidth="1"/>
    <col min="30" max="31" width="16.28515625" style="136" customWidth="1"/>
    <col min="32" max="32" width="13.7109375" style="139" customWidth="1"/>
    <col min="33" max="33" width="24.42578125" style="139" customWidth="1"/>
    <col min="34" max="34" width="6.28515625" style="116" customWidth="1"/>
    <col min="35" max="35" width="9.28515625" style="116"/>
    <col min="36" max="36" width="45.28515625" style="116" customWidth="1"/>
    <col min="37" max="16384" width="9.28515625" style="116"/>
  </cols>
  <sheetData>
    <row r="1" spans="1:34" ht="31.5" customHeight="1" x14ac:dyDescent="0.25">
      <c r="AB1" s="137" t="s">
        <v>89</v>
      </c>
      <c r="AC1" s="138" t="s">
        <v>90</v>
      </c>
    </row>
    <row r="2" spans="1:34" ht="30" x14ac:dyDescent="0.25">
      <c r="C2" s="221"/>
      <c r="D2" s="221"/>
      <c r="E2" s="221"/>
      <c r="F2" s="221"/>
      <c r="G2" s="221"/>
      <c r="H2" s="221"/>
      <c r="I2" s="221"/>
      <c r="J2" s="221"/>
      <c r="AB2" s="137" t="s">
        <v>91</v>
      </c>
      <c r="AC2" s="140" t="s">
        <v>92</v>
      </c>
      <c r="AF2" s="136"/>
      <c r="AG2" s="136"/>
      <c r="AH2" s="136"/>
    </row>
    <row r="3" spans="1:34" ht="18" x14ac:dyDescent="0.25">
      <c r="C3" s="221"/>
      <c r="D3" s="221"/>
      <c r="E3" s="221"/>
      <c r="F3" s="221"/>
      <c r="G3" s="221"/>
      <c r="H3" s="221"/>
      <c r="I3" s="221"/>
      <c r="J3" s="221"/>
      <c r="AB3" s="137" t="s">
        <v>93</v>
      </c>
    </row>
    <row r="4" spans="1:34" ht="18" x14ac:dyDescent="0.25">
      <c r="C4" s="221"/>
      <c r="D4" s="221"/>
      <c r="E4" s="221"/>
      <c r="F4" s="221"/>
      <c r="G4" s="221"/>
      <c r="H4" s="221"/>
      <c r="I4" s="221"/>
      <c r="J4" s="221"/>
      <c r="AB4" s="137" t="s">
        <v>94</v>
      </c>
    </row>
    <row r="5" spans="1:34" ht="18" x14ac:dyDescent="0.25">
      <c r="C5" s="221"/>
      <c r="D5" s="221"/>
      <c r="E5" s="221"/>
      <c r="F5" s="221"/>
      <c r="G5" s="221"/>
      <c r="H5" s="221"/>
      <c r="I5" s="221"/>
      <c r="J5" s="221"/>
      <c r="AB5" s="137" t="s">
        <v>95</v>
      </c>
    </row>
    <row r="6" spans="1:34" x14ac:dyDescent="0.25">
      <c r="AB6" s="137" t="s">
        <v>96</v>
      </c>
    </row>
    <row r="7" spans="1:34" x14ac:dyDescent="0.25">
      <c r="AB7" s="137" t="s">
        <v>97</v>
      </c>
    </row>
    <row r="8" spans="1:34" x14ac:dyDescent="0.25">
      <c r="AB8" s="137" t="s">
        <v>98</v>
      </c>
    </row>
    <row r="9" spans="1:34" x14ac:dyDescent="0.25">
      <c r="AB9" s="137" t="s">
        <v>99</v>
      </c>
    </row>
    <row r="10" spans="1:34" ht="9" customHeight="1" x14ac:dyDescent="0.4">
      <c r="C10" s="141"/>
      <c r="AB10" s="137" t="s">
        <v>100</v>
      </c>
    </row>
    <row r="11" spans="1:34" ht="9" customHeight="1" x14ac:dyDescent="0.25">
      <c r="AB11" s="137" t="s">
        <v>101</v>
      </c>
    </row>
    <row r="12" spans="1:34" ht="9" customHeight="1" x14ac:dyDescent="0.25">
      <c r="AB12" s="137" t="s">
        <v>102</v>
      </c>
    </row>
    <row r="13" spans="1:34" x14ac:dyDescent="0.25">
      <c r="A13" s="134" t="s">
        <v>103</v>
      </c>
      <c r="AB13" s="137" t="s">
        <v>104</v>
      </c>
    </row>
    <row r="14" spans="1:34" ht="16.5" thickBot="1" x14ac:dyDescent="0.3">
      <c r="F14" s="135"/>
      <c r="G14" s="135"/>
      <c r="H14" s="135"/>
      <c r="AB14" s="137" t="s">
        <v>105</v>
      </c>
    </row>
    <row r="15" spans="1:34" ht="17.25" thickTop="1" thickBot="1" x14ac:dyDescent="0.3">
      <c r="C15" s="142" t="s">
        <v>106</v>
      </c>
      <c r="D15" s="222" t="s">
        <v>171</v>
      </c>
      <c r="E15" s="223"/>
      <c r="F15" s="135"/>
      <c r="G15" s="135"/>
      <c r="H15" s="135"/>
      <c r="AB15" s="137" t="s">
        <v>107</v>
      </c>
    </row>
    <row r="16" spans="1:34" ht="16.5" thickBot="1" x14ac:dyDescent="0.3">
      <c r="C16" s="143"/>
      <c r="D16"/>
      <c r="E16" s="127"/>
      <c r="G16" s="143"/>
      <c r="I16" s="143"/>
      <c r="AB16" s="137" t="s">
        <v>108</v>
      </c>
    </row>
    <row r="17" spans="3:33" ht="16.5" thickTop="1" x14ac:dyDescent="0.25">
      <c r="C17" s="144" t="s">
        <v>109</v>
      </c>
      <c r="D17" s="128" t="s">
        <v>216</v>
      </c>
      <c r="E17" s="127"/>
      <c r="G17" s="143"/>
      <c r="I17" s="143"/>
      <c r="AB17" s="137" t="s">
        <v>110</v>
      </c>
    </row>
    <row r="18" spans="3:33" ht="16.5" thickBot="1" x14ac:dyDescent="0.3">
      <c r="C18" s="143"/>
      <c r="D18"/>
      <c r="E18" s="127"/>
      <c r="G18" s="143"/>
      <c r="I18" s="143"/>
      <c r="AB18" s="137" t="s">
        <v>111</v>
      </c>
    </row>
    <row r="19" spans="3:33" ht="16.5" thickTop="1" x14ac:dyDescent="0.25">
      <c r="C19" s="144" t="s">
        <v>112</v>
      </c>
      <c r="D19" s="224" t="s">
        <v>217</v>
      </c>
      <c r="E19" s="220"/>
      <c r="G19" s="145"/>
      <c r="H19" s="146"/>
      <c r="I19" s="143"/>
      <c r="AB19" s="137" t="s">
        <v>113</v>
      </c>
    </row>
    <row r="20" spans="3:33" ht="16.5" thickBot="1" x14ac:dyDescent="0.3">
      <c r="C20" s="147"/>
      <c r="D20"/>
      <c r="E20" s="129"/>
      <c r="G20" s="147"/>
      <c r="I20" s="147"/>
      <c r="AA20" s="148"/>
      <c r="AB20" s="137" t="s">
        <v>114</v>
      </c>
      <c r="AD20" s="148"/>
      <c r="AE20" s="148"/>
      <c r="AF20" s="149"/>
      <c r="AG20" s="149"/>
    </row>
    <row r="21" spans="3:33" ht="16.5" thickTop="1" x14ac:dyDescent="0.25">
      <c r="C21" s="150" t="s">
        <v>115</v>
      </c>
      <c r="D21" s="128"/>
      <c r="AB21" s="137" t="s">
        <v>116</v>
      </c>
      <c r="AE21" s="116"/>
      <c r="AF21" s="151"/>
      <c r="AG21" s="152"/>
    </row>
    <row r="22" spans="3:33" ht="16.5" thickBot="1" x14ac:dyDescent="0.3">
      <c r="E22" s="146"/>
      <c r="AB22" s="137" t="s">
        <v>117</v>
      </c>
      <c r="AE22" s="116"/>
      <c r="AF22" s="151"/>
      <c r="AG22" s="152"/>
    </row>
    <row r="23" spans="3:33" thickTop="1" x14ac:dyDescent="0.25">
      <c r="C23" s="150" t="s">
        <v>118</v>
      </c>
      <c r="D23" s="219" t="s">
        <v>218</v>
      </c>
      <c r="E23" s="220"/>
      <c r="AB23" s="137" t="s">
        <v>119</v>
      </c>
      <c r="AE23" s="116"/>
      <c r="AF23" s="151"/>
      <c r="AG23" s="152"/>
    </row>
    <row r="24" spans="3:33" ht="16.5" thickBot="1" x14ac:dyDescent="0.3">
      <c r="D24" s="153"/>
      <c r="I24" s="154"/>
      <c r="AB24" s="137" t="s">
        <v>120</v>
      </c>
      <c r="AE24" s="116"/>
      <c r="AF24" s="151"/>
      <c r="AG24" s="152"/>
    </row>
    <row r="25" spans="3:33" ht="15.75" customHeight="1" thickTop="1" x14ac:dyDescent="0.25">
      <c r="C25" s="150" t="s">
        <v>121</v>
      </c>
      <c r="D25" s="130"/>
      <c r="AB25" s="137" t="s">
        <v>122</v>
      </c>
      <c r="AE25" s="116"/>
      <c r="AF25" s="151"/>
      <c r="AG25" s="152"/>
    </row>
    <row r="26" spans="3:33" ht="15.75" customHeight="1" thickBot="1" x14ac:dyDescent="0.3">
      <c r="AB26" s="137" t="s">
        <v>123</v>
      </c>
      <c r="AE26" s="116"/>
      <c r="AF26" s="151"/>
      <c r="AG26" s="152"/>
    </row>
    <row r="27" spans="3:33" ht="15.75" customHeight="1" thickTop="1" x14ac:dyDescent="0.25">
      <c r="C27" s="150" t="s">
        <v>124</v>
      </c>
      <c r="D27" s="130">
        <v>2027</v>
      </c>
      <c r="AB27" s="137" t="s">
        <v>125</v>
      </c>
      <c r="AE27" s="116"/>
      <c r="AF27" s="151"/>
      <c r="AG27" s="152"/>
    </row>
    <row r="28" spans="3:33" ht="15.75" customHeight="1" x14ac:dyDescent="0.3">
      <c r="C28" s="155"/>
      <c r="AB28" s="137" t="s">
        <v>126</v>
      </c>
      <c r="AE28" s="116"/>
      <c r="AF28" s="151"/>
      <c r="AG28" s="152"/>
    </row>
    <row r="29" spans="3:33" ht="15.75" customHeight="1" x14ac:dyDescent="0.3">
      <c r="C29" s="155"/>
      <c r="AB29" s="137" t="s">
        <v>127</v>
      </c>
      <c r="AE29" s="116"/>
      <c r="AF29" s="151"/>
      <c r="AG29" s="152"/>
    </row>
    <row r="30" spans="3:33" ht="15.75" customHeight="1" x14ac:dyDescent="0.25">
      <c r="AB30" s="137" t="s">
        <v>128</v>
      </c>
      <c r="AE30" s="116"/>
      <c r="AF30" s="151"/>
      <c r="AG30" s="152"/>
    </row>
    <row r="31" spans="3:33" x14ac:dyDescent="0.25">
      <c r="AB31" s="137" t="s">
        <v>129</v>
      </c>
      <c r="AE31" s="116"/>
      <c r="AF31" s="151"/>
      <c r="AG31" s="152"/>
    </row>
    <row r="32" spans="3:33" x14ac:dyDescent="0.25">
      <c r="F32" s="136"/>
      <c r="G32" s="136"/>
      <c r="H32" s="136"/>
      <c r="I32" s="136"/>
      <c r="J32" s="136"/>
      <c r="K32" s="136"/>
      <c r="AB32" s="137" t="s">
        <v>130</v>
      </c>
      <c r="AE32" s="116"/>
      <c r="AF32" s="151"/>
      <c r="AG32" s="152"/>
    </row>
    <row r="33" spans="3:33" x14ac:dyDescent="0.25">
      <c r="F33" s="136"/>
      <c r="G33" s="136"/>
      <c r="H33" s="136"/>
      <c r="I33" s="136"/>
      <c r="J33" s="136"/>
      <c r="K33" s="136"/>
      <c r="AB33" s="137" t="s">
        <v>131</v>
      </c>
      <c r="AE33" s="116"/>
      <c r="AF33" s="151"/>
      <c r="AG33" s="152"/>
    </row>
    <row r="34" spans="3:33" x14ac:dyDescent="0.25">
      <c r="F34" s="136"/>
      <c r="G34" s="136"/>
      <c r="H34" s="136"/>
      <c r="I34" s="136"/>
      <c r="J34" s="136"/>
      <c r="K34" s="136"/>
      <c r="AB34" s="137" t="s">
        <v>132</v>
      </c>
      <c r="AE34" s="116"/>
      <c r="AF34" s="151"/>
      <c r="AG34" s="152"/>
    </row>
    <row r="35" spans="3:33" ht="16.5" x14ac:dyDescent="0.3">
      <c r="D35" s="156"/>
      <c r="E35" s="116"/>
      <c r="F35" s="157"/>
      <c r="G35" s="157"/>
      <c r="H35" s="157"/>
      <c r="I35" s="157"/>
      <c r="J35" s="157"/>
      <c r="K35" s="157"/>
      <c r="AB35" s="137" t="s">
        <v>133</v>
      </c>
      <c r="AE35" s="116"/>
      <c r="AF35" s="151"/>
      <c r="AG35" s="152"/>
    </row>
    <row r="36" spans="3:33" ht="15.75" customHeight="1" x14ac:dyDescent="0.3">
      <c r="D36" s="155"/>
      <c r="E36" s="116"/>
      <c r="F36" s="158"/>
      <c r="G36" s="136"/>
      <c r="H36" s="136"/>
      <c r="I36" s="136"/>
      <c r="J36" s="136"/>
      <c r="K36" s="136"/>
      <c r="AB36" s="137" t="s">
        <v>134</v>
      </c>
      <c r="AE36" s="116"/>
      <c r="AF36" s="151"/>
      <c r="AG36" s="152"/>
    </row>
    <row r="37" spans="3:33" ht="15.75" customHeight="1" x14ac:dyDescent="0.3">
      <c r="D37" s="156"/>
      <c r="E37" s="116"/>
      <c r="F37" s="157"/>
      <c r="G37" s="157"/>
      <c r="H37" s="157"/>
      <c r="I37" s="157"/>
      <c r="J37" s="157"/>
      <c r="K37" s="157"/>
      <c r="AB37" s="137" t="s">
        <v>135</v>
      </c>
      <c r="AE37" s="116"/>
      <c r="AF37" s="151"/>
      <c r="AG37" s="152"/>
    </row>
    <row r="38" spans="3:33" ht="15.75" customHeight="1" x14ac:dyDescent="0.3">
      <c r="D38" s="155"/>
      <c r="E38" s="116"/>
      <c r="F38" s="158"/>
      <c r="G38" s="136"/>
      <c r="H38" s="136"/>
      <c r="I38" s="136"/>
      <c r="J38" s="136"/>
      <c r="K38" s="136"/>
      <c r="AB38" s="137" t="s">
        <v>136</v>
      </c>
      <c r="AE38" s="116"/>
      <c r="AF38" s="151"/>
      <c r="AG38" s="152"/>
    </row>
    <row r="39" spans="3:33" ht="15.75" customHeight="1" x14ac:dyDescent="0.3">
      <c r="D39" s="156"/>
      <c r="E39" s="156"/>
      <c r="F39" s="157"/>
      <c r="G39" s="157"/>
      <c r="H39" s="157"/>
      <c r="I39" s="157"/>
      <c r="J39" s="157"/>
      <c r="K39" s="157"/>
      <c r="AB39" s="137" t="s">
        <v>137</v>
      </c>
      <c r="AE39" s="116"/>
      <c r="AF39" s="151"/>
      <c r="AG39" s="152"/>
    </row>
    <row r="40" spans="3:33" ht="16.5" x14ac:dyDescent="0.3">
      <c r="D40" s="155"/>
      <c r="E40" s="116"/>
      <c r="F40" s="159"/>
      <c r="G40" s="136"/>
      <c r="H40" s="136"/>
      <c r="I40" s="136"/>
      <c r="J40" s="136"/>
      <c r="K40" s="136"/>
      <c r="AB40" s="137" t="s">
        <v>138</v>
      </c>
      <c r="AE40" s="116"/>
      <c r="AF40" s="151"/>
      <c r="AG40" s="152"/>
    </row>
    <row r="41" spans="3:33" ht="16.5" x14ac:dyDescent="0.3">
      <c r="D41" s="155"/>
      <c r="E41" s="155"/>
      <c r="F41" s="157"/>
      <c r="G41" s="157"/>
      <c r="H41" s="157"/>
      <c r="I41" s="157"/>
      <c r="J41" s="157"/>
      <c r="K41" s="157"/>
      <c r="AB41" s="137" t="s">
        <v>139</v>
      </c>
      <c r="AE41" s="116"/>
      <c r="AF41" s="151"/>
      <c r="AG41" s="152"/>
    </row>
    <row r="42" spans="3:33" ht="15" x14ac:dyDescent="0.25">
      <c r="E42" s="116"/>
      <c r="F42" s="136"/>
      <c r="G42" s="136"/>
      <c r="H42" s="136"/>
      <c r="I42" s="136"/>
      <c r="J42" s="136"/>
      <c r="K42" s="136"/>
      <c r="AB42" s="137" t="s">
        <v>140</v>
      </c>
      <c r="AE42" s="116"/>
      <c r="AF42" s="151"/>
      <c r="AG42" s="152"/>
    </row>
    <row r="43" spans="3:33" ht="16.5" x14ac:dyDescent="0.3">
      <c r="D43" s="155"/>
      <c r="E43" s="155"/>
      <c r="F43" s="160"/>
      <c r="G43" s="160"/>
      <c r="H43" s="161"/>
      <c r="I43" s="161"/>
      <c r="J43" s="161"/>
      <c r="K43" s="161"/>
      <c r="AB43" s="137" t="s">
        <v>141</v>
      </c>
      <c r="AE43" s="116"/>
      <c r="AF43" s="151"/>
      <c r="AG43" s="152"/>
    </row>
    <row r="44" spans="3:33" ht="15" x14ac:dyDescent="0.25">
      <c r="E44" s="116"/>
      <c r="F44" s="136"/>
      <c r="G44" s="136"/>
      <c r="H44" s="136"/>
      <c r="I44" s="136"/>
      <c r="J44" s="136"/>
      <c r="K44" s="136"/>
      <c r="AB44" s="137" t="s">
        <v>142</v>
      </c>
      <c r="AE44" s="116"/>
      <c r="AF44" s="151"/>
      <c r="AG44" s="152"/>
    </row>
    <row r="45" spans="3:33" ht="15" customHeight="1" x14ac:dyDescent="0.25">
      <c r="D45" s="162"/>
      <c r="E45" s="162"/>
      <c r="F45" s="163"/>
      <c r="G45" s="163"/>
      <c r="H45" s="163"/>
      <c r="I45" s="164"/>
      <c r="J45" s="164"/>
      <c r="K45" s="164"/>
      <c r="AB45" s="137" t="s">
        <v>143</v>
      </c>
      <c r="AE45" s="116"/>
      <c r="AF45" s="151"/>
      <c r="AG45" s="152"/>
    </row>
    <row r="46" spans="3:33" ht="15" customHeight="1" x14ac:dyDescent="0.25">
      <c r="C46" s="162"/>
      <c r="D46" s="162"/>
      <c r="E46" s="162"/>
      <c r="F46" s="163"/>
      <c r="G46" s="163"/>
      <c r="H46" s="163"/>
      <c r="I46" s="164"/>
      <c r="J46" s="164"/>
      <c r="K46" s="164"/>
      <c r="AB46" s="137" t="s">
        <v>144</v>
      </c>
      <c r="AE46" s="116"/>
      <c r="AF46" s="151"/>
      <c r="AG46" s="152"/>
    </row>
    <row r="47" spans="3:33" x14ac:dyDescent="0.25">
      <c r="F47" s="136"/>
      <c r="G47" s="136"/>
      <c r="H47" s="136"/>
      <c r="I47" s="136"/>
      <c r="J47" s="136"/>
      <c r="K47" s="136"/>
      <c r="AB47" s="137" t="s">
        <v>145</v>
      </c>
      <c r="AE47" s="116"/>
      <c r="AF47" s="151"/>
      <c r="AG47" s="152"/>
    </row>
    <row r="48" spans="3:33" x14ac:dyDescent="0.25">
      <c r="F48" s="136"/>
      <c r="G48" s="136"/>
      <c r="H48" s="136"/>
      <c r="I48" s="136"/>
      <c r="J48" s="136"/>
      <c r="K48" s="136"/>
      <c r="AB48" s="137" t="s">
        <v>146</v>
      </c>
      <c r="AE48" s="116"/>
      <c r="AF48" s="151"/>
      <c r="AG48" s="152"/>
    </row>
    <row r="49" spans="28:33" x14ac:dyDescent="0.25">
      <c r="AB49" s="137" t="s">
        <v>147</v>
      </c>
      <c r="AE49" s="116"/>
      <c r="AF49" s="151"/>
      <c r="AG49" s="152"/>
    </row>
    <row r="50" spans="28:33" x14ac:dyDescent="0.25">
      <c r="AB50" s="137" t="s">
        <v>148</v>
      </c>
      <c r="AE50" s="116"/>
      <c r="AF50" s="151"/>
      <c r="AG50" s="152"/>
    </row>
    <row r="51" spans="28:33" x14ac:dyDescent="0.25">
      <c r="AB51" s="137" t="s">
        <v>149</v>
      </c>
      <c r="AE51" s="116"/>
      <c r="AF51" s="151"/>
      <c r="AG51" s="152"/>
    </row>
    <row r="52" spans="28:33" x14ac:dyDescent="0.25">
      <c r="AB52" s="137" t="s">
        <v>150</v>
      </c>
      <c r="AE52" s="116"/>
      <c r="AF52" s="151"/>
      <c r="AG52" s="152"/>
    </row>
    <row r="53" spans="28:33" x14ac:dyDescent="0.25">
      <c r="AB53" s="137" t="s">
        <v>151</v>
      </c>
      <c r="AE53" s="116"/>
      <c r="AF53" s="151"/>
      <c r="AG53" s="152"/>
    </row>
    <row r="54" spans="28:33" x14ac:dyDescent="0.25">
      <c r="AB54" s="137" t="s">
        <v>152</v>
      </c>
      <c r="AE54" s="116"/>
      <c r="AF54" s="151"/>
      <c r="AG54" s="152"/>
    </row>
    <row r="55" spans="28:33" x14ac:dyDescent="0.25">
      <c r="AB55" s="137" t="s">
        <v>153</v>
      </c>
      <c r="AE55" s="116"/>
      <c r="AF55" s="151"/>
      <c r="AG55" s="152"/>
    </row>
    <row r="56" spans="28:33" x14ac:dyDescent="0.25">
      <c r="AB56" s="137" t="s">
        <v>154</v>
      </c>
      <c r="AE56" s="116"/>
      <c r="AF56" s="151"/>
      <c r="AG56" s="152"/>
    </row>
    <row r="57" spans="28:33" x14ac:dyDescent="0.25">
      <c r="AB57" s="137" t="s">
        <v>155</v>
      </c>
      <c r="AE57" s="116"/>
      <c r="AF57" s="151"/>
      <c r="AG57" s="152"/>
    </row>
    <row r="58" spans="28:33" x14ac:dyDescent="0.25">
      <c r="AB58" s="137" t="s">
        <v>156</v>
      </c>
      <c r="AE58" s="116"/>
      <c r="AF58" s="151"/>
      <c r="AG58" s="152"/>
    </row>
    <row r="59" spans="28:33" x14ac:dyDescent="0.25">
      <c r="AB59" s="137" t="s">
        <v>157</v>
      </c>
      <c r="AE59" s="116"/>
      <c r="AF59" s="151"/>
      <c r="AG59" s="152"/>
    </row>
    <row r="60" spans="28:33" x14ac:dyDescent="0.25">
      <c r="AB60" s="137" t="s">
        <v>158</v>
      </c>
      <c r="AE60" s="116"/>
      <c r="AF60" s="151"/>
      <c r="AG60" s="152"/>
    </row>
    <row r="61" spans="28:33" x14ac:dyDescent="0.25">
      <c r="AB61" s="137" t="s">
        <v>159</v>
      </c>
      <c r="AE61" s="116"/>
      <c r="AF61" s="151"/>
      <c r="AG61" s="152"/>
    </row>
    <row r="62" spans="28:33" x14ac:dyDescent="0.25">
      <c r="AB62" s="137" t="s">
        <v>160</v>
      </c>
      <c r="AE62" s="116"/>
      <c r="AF62" s="151"/>
      <c r="AG62" s="152"/>
    </row>
    <row r="63" spans="28:33" x14ac:dyDescent="0.25">
      <c r="AB63" s="137" t="s">
        <v>161</v>
      </c>
      <c r="AE63" s="116"/>
      <c r="AF63" s="151"/>
      <c r="AG63" s="152"/>
    </row>
    <row r="64" spans="28:33" x14ac:dyDescent="0.25">
      <c r="AB64" s="137" t="s">
        <v>162</v>
      </c>
      <c r="AE64" s="116"/>
      <c r="AF64" s="151"/>
      <c r="AG64" s="152"/>
    </row>
    <row r="65" spans="28:33" x14ac:dyDescent="0.25">
      <c r="AB65" s="137" t="s">
        <v>163</v>
      </c>
      <c r="AE65" s="116"/>
      <c r="AF65" s="151"/>
      <c r="AG65" s="152"/>
    </row>
    <row r="66" spans="28:33" x14ac:dyDescent="0.25">
      <c r="AB66" s="137" t="s">
        <v>164</v>
      </c>
      <c r="AE66" s="116"/>
      <c r="AF66" s="151"/>
      <c r="AG66" s="152"/>
    </row>
    <row r="67" spans="28:33" x14ac:dyDescent="0.25">
      <c r="AB67" s="137" t="s">
        <v>165</v>
      </c>
      <c r="AE67" s="116"/>
      <c r="AF67" s="151"/>
      <c r="AG67" s="152"/>
    </row>
    <row r="68" spans="28:33" x14ac:dyDescent="0.25">
      <c r="AB68" s="137" t="s">
        <v>166</v>
      </c>
      <c r="AE68" s="116"/>
      <c r="AF68" s="151"/>
      <c r="AG68" s="152"/>
    </row>
    <row r="69" spans="28:33" x14ac:dyDescent="0.25">
      <c r="AB69" s="137" t="s">
        <v>167</v>
      </c>
      <c r="AE69" s="116"/>
      <c r="AF69" s="151"/>
      <c r="AG69" s="152"/>
    </row>
    <row r="70" spans="28:33" x14ac:dyDescent="0.25">
      <c r="AB70" s="137" t="s">
        <v>168</v>
      </c>
      <c r="AE70" s="116"/>
      <c r="AF70" s="151"/>
      <c r="AG70" s="152"/>
    </row>
    <row r="71" spans="28:33" x14ac:dyDescent="0.25">
      <c r="AB71" s="137" t="s">
        <v>169</v>
      </c>
      <c r="AE71" s="116"/>
      <c r="AF71" s="151"/>
      <c r="AG71" s="152"/>
    </row>
    <row r="72" spans="28:33" x14ac:dyDescent="0.25">
      <c r="AB72" s="137" t="s">
        <v>170</v>
      </c>
      <c r="AC72" s="116"/>
      <c r="AE72" s="116"/>
      <c r="AF72" s="151"/>
      <c r="AG72" s="152"/>
    </row>
    <row r="73" spans="28:33" x14ac:dyDescent="0.25">
      <c r="AC73" s="116"/>
      <c r="AE73" s="116"/>
      <c r="AF73" s="151"/>
      <c r="AG73" s="152"/>
    </row>
    <row r="74" spans="28:33" x14ac:dyDescent="0.25">
      <c r="AC74" s="116"/>
      <c r="AE74" s="116"/>
      <c r="AF74" s="151"/>
      <c r="AG74" s="152"/>
    </row>
    <row r="75" spans="28:33" x14ac:dyDescent="0.25">
      <c r="AC75" s="116"/>
      <c r="AE75" s="116"/>
      <c r="AF75" s="151"/>
      <c r="AG75" s="152"/>
    </row>
    <row r="76" spans="28:33" x14ac:dyDescent="0.25">
      <c r="AC76" s="116"/>
      <c r="AE76" s="116"/>
      <c r="AF76" s="151"/>
      <c r="AG76" s="152"/>
    </row>
    <row r="77" spans="28:33" x14ac:dyDescent="0.25">
      <c r="AC77" s="116"/>
      <c r="AE77" s="116"/>
      <c r="AF77" s="151"/>
      <c r="AG77" s="152"/>
    </row>
    <row r="78" spans="28:33" x14ac:dyDescent="0.25">
      <c r="AC78" s="116"/>
      <c r="AE78" s="116"/>
      <c r="AF78" s="151"/>
      <c r="AG78" s="152"/>
    </row>
    <row r="79" spans="28:33" x14ac:dyDescent="0.25">
      <c r="AC79" s="116"/>
      <c r="AE79" s="116"/>
      <c r="AF79" s="151"/>
      <c r="AG79" s="152"/>
    </row>
    <row r="80" spans="28:33" x14ac:dyDescent="0.25">
      <c r="AC80" s="116"/>
      <c r="AE80" s="116"/>
      <c r="AF80" s="151"/>
      <c r="AG80" s="152"/>
    </row>
    <row r="81" spans="29:33" x14ac:dyDescent="0.25">
      <c r="AC81" s="116"/>
      <c r="AE81" s="116"/>
      <c r="AF81" s="151"/>
      <c r="AG81" s="152"/>
    </row>
    <row r="82" spans="29:33" x14ac:dyDescent="0.25">
      <c r="AC82" s="116"/>
      <c r="AE82" s="116"/>
      <c r="AF82" s="151"/>
      <c r="AG82" s="152"/>
    </row>
    <row r="83" spans="29:33" x14ac:dyDescent="0.25">
      <c r="AC83" s="116"/>
      <c r="AE83" s="116"/>
      <c r="AF83" s="151"/>
      <c r="AG83" s="152"/>
    </row>
    <row r="84" spans="29:33" x14ac:dyDescent="0.25">
      <c r="AC84" s="116"/>
      <c r="AE84" s="116"/>
      <c r="AF84" s="151"/>
      <c r="AG84" s="152"/>
    </row>
    <row r="85" spans="29:33" x14ac:dyDescent="0.25">
      <c r="AC85" s="116"/>
      <c r="AE85" s="116"/>
      <c r="AF85" s="152"/>
      <c r="AG85" s="152"/>
    </row>
    <row r="86" spans="29:33" x14ac:dyDescent="0.25">
      <c r="AC86" s="116"/>
      <c r="AE86" s="116"/>
      <c r="AF86" s="152"/>
      <c r="AG86" s="152"/>
    </row>
    <row r="87" spans="29:33" x14ac:dyDescent="0.25">
      <c r="AC87" s="116"/>
      <c r="AE87" s="116"/>
      <c r="AF87" s="152"/>
      <c r="AG87" s="152"/>
    </row>
    <row r="88" spans="29:33" x14ac:dyDescent="0.25">
      <c r="AC88" s="165"/>
      <c r="AF88" s="152"/>
      <c r="AG88" s="152"/>
    </row>
    <row r="89" spans="29:33" x14ac:dyDescent="0.25">
      <c r="AC89" s="165"/>
      <c r="AF89" s="152"/>
      <c r="AG89" s="152"/>
    </row>
    <row r="90" spans="29:33" x14ac:dyDescent="0.25">
      <c r="AC90" s="165"/>
      <c r="AF90" s="152"/>
      <c r="AG90" s="152"/>
    </row>
    <row r="91" spans="29:33" x14ac:dyDescent="0.25">
      <c r="AC91" s="165"/>
      <c r="AF91" s="152"/>
      <c r="AG91" s="152"/>
    </row>
    <row r="92" spans="29:33" x14ac:dyDescent="0.25">
      <c r="AC92" s="165"/>
      <c r="AF92" s="152"/>
      <c r="AG92" s="152"/>
    </row>
    <row r="93" spans="29:33" x14ac:dyDescent="0.25">
      <c r="AC93" s="165"/>
      <c r="AF93" s="152"/>
      <c r="AG93" s="152"/>
    </row>
    <row r="94" spans="29:33" x14ac:dyDescent="0.25">
      <c r="AC94" s="165"/>
      <c r="AF94" s="152"/>
      <c r="AG94" s="152"/>
    </row>
    <row r="95" spans="29:33" x14ac:dyDescent="0.25">
      <c r="AC95" s="165"/>
      <c r="AF95" s="152"/>
      <c r="AG95" s="152"/>
    </row>
    <row r="96" spans="29:33" x14ac:dyDescent="0.25">
      <c r="AC96" s="165"/>
      <c r="AF96" s="152"/>
      <c r="AG96" s="152"/>
    </row>
    <row r="97" spans="29:33" x14ac:dyDescent="0.25">
      <c r="AC97" s="165"/>
      <c r="AF97" s="152"/>
      <c r="AG97" s="152"/>
    </row>
    <row r="98" spans="29:33" x14ac:dyDescent="0.25">
      <c r="AC98" s="165"/>
      <c r="AF98" s="152"/>
      <c r="AG98" s="152"/>
    </row>
    <row r="99" spans="29:33" x14ac:dyDescent="0.25">
      <c r="AC99" s="165"/>
      <c r="AF99" s="152"/>
      <c r="AG99" s="152"/>
    </row>
    <row r="100" spans="29:33" x14ac:dyDescent="0.25">
      <c r="AC100" s="165"/>
      <c r="AF100" s="152"/>
      <c r="AG100" s="152"/>
    </row>
    <row r="101" spans="29:33" x14ac:dyDescent="0.25">
      <c r="AC101" s="165"/>
      <c r="AF101" s="152"/>
      <c r="AG101" s="152"/>
    </row>
    <row r="102" spans="29:33" x14ac:dyDescent="0.25">
      <c r="AC102" s="165"/>
      <c r="AF102" s="152"/>
      <c r="AG102" s="152"/>
    </row>
    <row r="103" spans="29:33" x14ac:dyDescent="0.25">
      <c r="AC103" s="165"/>
      <c r="AF103" s="152"/>
      <c r="AG103" s="152"/>
    </row>
    <row r="104" spans="29:33" x14ac:dyDescent="0.25">
      <c r="AC104" s="165"/>
      <c r="AF104" s="152"/>
      <c r="AG104" s="152"/>
    </row>
    <row r="105" spans="29:33" hidden="1" x14ac:dyDescent="0.25">
      <c r="AC105" s="165"/>
      <c r="AF105" s="152"/>
      <c r="AG105" s="152"/>
    </row>
    <row r="106" spans="29:33" hidden="1" x14ac:dyDescent="0.25">
      <c r="AC106" s="165"/>
      <c r="AF106" s="152"/>
      <c r="AG106" s="152"/>
    </row>
    <row r="107" spans="29:33" x14ac:dyDescent="0.25"/>
    <row r="108" spans="29:33" x14ac:dyDescent="0.25"/>
  </sheetData>
  <mergeCells count="7">
    <mergeCell ref="D23:E23"/>
    <mergeCell ref="C2:J2"/>
    <mergeCell ref="C3:J3"/>
    <mergeCell ref="C4:J4"/>
    <mergeCell ref="C5:J5"/>
    <mergeCell ref="D15:E15"/>
    <mergeCell ref="D19:E19"/>
  </mergeCells>
  <dataValidations count="4">
    <dataValidation type="list" allowBlank="1" showInputMessage="1" showErrorMessage="1" sqref="D27" xr:uid="{379A6C1E-3386-4C51-9457-EE67BBEBFFAA}">
      <formula1>"2026,2027,2028"</formula1>
    </dataValidation>
    <dataValidation type="list" allowBlank="1" showInputMessage="1" showErrorMessage="1" sqref="I45:K46" xr:uid="{72BB161A-4EC7-47BD-90D2-540F1486E76F}">
      <formula1>"Excel 2000, Excel 2003, Excel 2007, Excel 2010"</formula1>
    </dataValidation>
    <dataValidation allowBlank="1" showInputMessage="1" showErrorMessage="1" promptTitle="Inputting Date" prompt="Please Use the following format:_x000a__x000a_E.g:  May 1, 2012" sqref="H43:K43" xr:uid="{8C2F61B2-C735-4B30-A76E-C4E1DD0330F0}"/>
    <dataValidation type="list" allowBlank="1" showInputMessage="1" showErrorMessage="1" sqref="D25" xr:uid="{C526A2D0-0FA8-4700-A401-F82C75D45BA2}">
      <formula1>"2009,2010,2011,2012, 2013, 2014, 2015, 2016, 2017,2018,2019,2020,2021,2022,2023"</formula1>
    </dataValidation>
  </dataValidations>
  <hyperlinks>
    <hyperlink ref="D23" r:id="rId1" xr:uid="{ED6DDB92-CFDF-4CDC-8E90-F0DB1C475DC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0C5A-A76B-40D1-8990-DFBBD869B238}">
  <dimension ref="C17:M121"/>
  <sheetViews>
    <sheetView workbookViewId="0">
      <selection activeCell="F15" sqref="F15"/>
    </sheetView>
  </sheetViews>
  <sheetFormatPr defaultColWidth="8.85546875" defaultRowHeight="15" x14ac:dyDescent="0.25"/>
  <cols>
    <col min="1" max="16384" width="8.85546875" style="116"/>
  </cols>
  <sheetData>
    <row r="17" spans="3:13" s="131" customFormat="1" ht="3" customHeight="1" x14ac:dyDescent="0.2"/>
    <row r="18" spans="3:13" s="131" customFormat="1" ht="3" customHeight="1" x14ac:dyDescent="0.2">
      <c r="C18" s="132"/>
      <c r="D18" s="132"/>
      <c r="E18" s="132"/>
      <c r="F18" s="132"/>
      <c r="G18" s="132"/>
      <c r="H18" s="132"/>
      <c r="I18" s="132"/>
      <c r="J18" s="132"/>
      <c r="K18" s="132"/>
      <c r="L18" s="132"/>
      <c r="M18" s="132"/>
    </row>
    <row r="19" spans="3:13" s="131" customFormat="1" ht="12.75" x14ac:dyDescent="0.2">
      <c r="C19" s="132"/>
      <c r="D19" s="132"/>
      <c r="E19" s="132"/>
      <c r="F19" s="132"/>
      <c r="G19" s="132"/>
      <c r="H19" s="132"/>
      <c r="J19" s="132"/>
      <c r="K19" s="132"/>
      <c r="L19" s="132"/>
      <c r="M19" s="132"/>
    </row>
    <row r="20" spans="3:13" s="131" customFormat="1" ht="15.75" x14ac:dyDescent="0.25">
      <c r="C20" s="132"/>
      <c r="D20" s="133" t="s">
        <v>172</v>
      </c>
      <c r="E20" s="132"/>
      <c r="F20" s="132"/>
      <c r="G20" s="132"/>
      <c r="H20" s="132"/>
      <c r="I20" s="133" t="s">
        <v>173</v>
      </c>
      <c r="J20" s="132"/>
      <c r="K20" s="132"/>
      <c r="L20" s="132"/>
      <c r="M20" s="132"/>
    </row>
    <row r="21" spans="3:13" s="131" customFormat="1" ht="15.75" x14ac:dyDescent="0.25">
      <c r="C21" s="132"/>
      <c r="D21" s="134"/>
      <c r="E21" s="132"/>
      <c r="F21" s="132"/>
      <c r="G21" s="132"/>
      <c r="H21" s="132"/>
      <c r="J21" s="132"/>
      <c r="K21" s="132"/>
      <c r="L21" s="132"/>
      <c r="M21" s="132"/>
    </row>
    <row r="22" spans="3:13" s="131" customFormat="1" ht="15.75" x14ac:dyDescent="0.25">
      <c r="C22" s="132"/>
      <c r="D22" s="133" t="s">
        <v>174</v>
      </c>
      <c r="E22" s="132"/>
      <c r="F22" s="132"/>
      <c r="G22" s="132"/>
      <c r="H22" s="132"/>
      <c r="I22" s="133" t="s">
        <v>175</v>
      </c>
      <c r="J22" s="132"/>
      <c r="K22" s="132"/>
      <c r="L22" s="132"/>
      <c r="M22" s="132"/>
    </row>
    <row r="23" spans="3:13" s="131" customFormat="1" ht="15.75" x14ac:dyDescent="0.25">
      <c r="C23" s="132"/>
      <c r="D23" s="134"/>
      <c r="E23" s="132"/>
      <c r="F23" s="132"/>
      <c r="G23" s="132"/>
      <c r="H23" s="132"/>
      <c r="I23" s="134"/>
      <c r="J23" s="132"/>
      <c r="K23" s="132"/>
      <c r="L23" s="132"/>
      <c r="M23" s="132"/>
    </row>
    <row r="24" spans="3:13" s="131" customFormat="1" ht="15.75" x14ac:dyDescent="0.25">
      <c r="C24" s="132"/>
      <c r="D24" s="133" t="s">
        <v>176</v>
      </c>
      <c r="E24" s="132"/>
      <c r="F24" s="132"/>
      <c r="G24" s="132"/>
      <c r="H24" s="132"/>
      <c r="I24" s="133" t="s">
        <v>177</v>
      </c>
      <c r="J24" s="132"/>
      <c r="K24" s="132"/>
      <c r="L24" s="132"/>
      <c r="M24" s="132"/>
    </row>
    <row r="25" spans="3:13" s="131" customFormat="1" ht="15.75" x14ac:dyDescent="0.25">
      <c r="C25" s="132"/>
      <c r="D25" s="134"/>
      <c r="E25" s="132"/>
      <c r="F25" s="132"/>
      <c r="G25" s="132"/>
      <c r="H25" s="132"/>
      <c r="I25" s="134"/>
      <c r="J25" s="132"/>
      <c r="K25" s="132"/>
      <c r="L25" s="132"/>
      <c r="M25" s="132"/>
    </row>
    <row r="26" spans="3:13" s="131" customFormat="1" ht="15.75" x14ac:dyDescent="0.25">
      <c r="C26" s="132"/>
      <c r="D26" s="133" t="s">
        <v>178</v>
      </c>
      <c r="E26" s="132"/>
      <c r="F26" s="132"/>
      <c r="G26" s="132"/>
      <c r="H26" s="132"/>
      <c r="I26" s="133" t="s">
        <v>179</v>
      </c>
      <c r="J26" s="132"/>
      <c r="K26" s="132"/>
      <c r="L26" s="132"/>
      <c r="M26" s="132"/>
    </row>
    <row r="27" spans="3:13" s="131" customFormat="1" ht="15.75" x14ac:dyDescent="0.25">
      <c r="C27" s="132"/>
      <c r="D27" s="134"/>
      <c r="E27" s="132"/>
      <c r="F27" s="132"/>
      <c r="G27" s="132"/>
      <c r="H27" s="132"/>
      <c r="I27" s="134"/>
      <c r="J27" s="132"/>
      <c r="K27" s="132"/>
      <c r="L27" s="132"/>
      <c r="M27" s="132"/>
    </row>
    <row r="28" spans="3:13" s="131" customFormat="1" ht="15.75" x14ac:dyDescent="0.25">
      <c r="C28" s="132"/>
      <c r="D28" s="133"/>
      <c r="E28" s="132"/>
      <c r="F28" s="132"/>
      <c r="G28" s="132"/>
      <c r="H28" s="132"/>
      <c r="I28" s="133" t="s">
        <v>180</v>
      </c>
      <c r="J28" s="132"/>
      <c r="K28" s="132"/>
      <c r="L28" s="132"/>
      <c r="M28" s="132"/>
    </row>
    <row r="29" spans="3:13" s="131" customFormat="1" ht="15.75" x14ac:dyDescent="0.25">
      <c r="C29" s="132"/>
      <c r="D29" s="134"/>
      <c r="E29" s="132"/>
      <c r="F29" s="132"/>
      <c r="G29" s="132"/>
      <c r="H29" s="132"/>
      <c r="I29" s="133"/>
      <c r="J29" s="132"/>
      <c r="K29" s="132"/>
      <c r="L29" s="132"/>
      <c r="M29" s="132"/>
    </row>
    <row r="30" spans="3:13" s="131" customFormat="1" ht="12.75" x14ac:dyDescent="0.2">
      <c r="C30" s="132"/>
      <c r="E30" s="132"/>
      <c r="F30" s="132"/>
      <c r="G30" s="132"/>
      <c r="H30" s="132"/>
      <c r="I30" s="132"/>
      <c r="J30" s="132"/>
      <c r="K30" s="132"/>
      <c r="L30" s="132"/>
      <c r="M30" s="132"/>
    </row>
    <row r="31" spans="3:13" s="131" customFormat="1" ht="15.75" x14ac:dyDescent="0.25">
      <c r="C31" s="132"/>
      <c r="D31" s="132"/>
      <c r="E31" s="132"/>
      <c r="F31" s="132"/>
      <c r="G31" s="132"/>
      <c r="H31" s="132"/>
      <c r="I31" s="133"/>
      <c r="J31" s="132"/>
      <c r="K31" s="132"/>
      <c r="L31" s="132"/>
      <c r="M31" s="132"/>
    </row>
    <row r="32" spans="3:13" s="131" customFormat="1" ht="12.75" x14ac:dyDescent="0.2">
      <c r="C32" s="132"/>
      <c r="D32" s="132"/>
      <c r="E32" s="132"/>
      <c r="F32" s="132"/>
      <c r="G32" s="132"/>
      <c r="H32" s="132"/>
      <c r="I32" s="132"/>
      <c r="J32" s="132"/>
      <c r="K32" s="132"/>
      <c r="L32" s="132"/>
      <c r="M32" s="132"/>
    </row>
    <row r="33" spans="3:13" s="131" customFormat="1" ht="12.75" x14ac:dyDescent="0.2">
      <c r="C33" s="132"/>
      <c r="D33" s="132"/>
      <c r="E33" s="132"/>
      <c r="F33" s="132"/>
      <c r="G33" s="132"/>
      <c r="H33" s="132"/>
      <c r="I33" s="132"/>
      <c r="J33" s="132"/>
      <c r="K33" s="132"/>
      <c r="L33" s="132"/>
      <c r="M33" s="132"/>
    </row>
    <row r="34" spans="3:13" s="131" customFormat="1" ht="12.75" x14ac:dyDescent="0.2">
      <c r="C34" s="132"/>
      <c r="D34" s="132"/>
      <c r="E34" s="132"/>
      <c r="F34" s="132"/>
      <c r="G34" s="132"/>
      <c r="H34" s="132"/>
      <c r="I34" s="132"/>
      <c r="J34" s="132"/>
      <c r="K34" s="132"/>
      <c r="L34" s="132"/>
      <c r="M34" s="132"/>
    </row>
    <row r="35" spans="3:13" s="131" customFormat="1" ht="12.75" x14ac:dyDescent="0.2">
      <c r="C35" s="132"/>
      <c r="D35" s="132"/>
      <c r="E35" s="132"/>
      <c r="F35" s="132"/>
      <c r="G35" s="132"/>
      <c r="H35" s="132"/>
      <c r="J35" s="132"/>
      <c r="K35" s="132"/>
      <c r="L35" s="132"/>
      <c r="M35" s="132"/>
    </row>
    <row r="36" spans="3:13" s="131" customFormat="1" ht="12.75" x14ac:dyDescent="0.2"/>
    <row r="37" spans="3:13" s="131" customFormat="1" ht="12.75" x14ac:dyDescent="0.2"/>
    <row r="38" spans="3:13" s="131" customFormat="1" ht="12.75" x14ac:dyDescent="0.2"/>
    <row r="39" spans="3:13" s="131" customFormat="1" ht="12.75" x14ac:dyDescent="0.2"/>
    <row r="40" spans="3:13" s="131" customFormat="1" ht="12.75" x14ac:dyDescent="0.2"/>
    <row r="41" spans="3:13" s="131" customFormat="1" ht="12.75" x14ac:dyDescent="0.2"/>
    <row r="42" spans="3:13" s="131" customFormat="1" ht="12.75" x14ac:dyDescent="0.2"/>
    <row r="43" spans="3:13" s="131" customFormat="1" ht="12.75" x14ac:dyDescent="0.2"/>
    <row r="44" spans="3:13" s="131" customFormat="1" ht="12.75" x14ac:dyDescent="0.2"/>
    <row r="45" spans="3:13" s="131" customFormat="1" ht="12.75" x14ac:dyDescent="0.2"/>
    <row r="46" spans="3:13" s="131" customFormat="1" ht="12.75" x14ac:dyDescent="0.2"/>
    <row r="47" spans="3:13" s="131" customFormat="1" ht="12.75" x14ac:dyDescent="0.2"/>
    <row r="48" spans="3:13" s="131" customFormat="1" ht="12.75" x14ac:dyDescent="0.2"/>
    <row r="49" s="131" customFormat="1" ht="12.75" x14ac:dyDescent="0.2"/>
    <row r="50" s="131" customFormat="1" ht="12.75" x14ac:dyDescent="0.2"/>
    <row r="51" s="131" customFormat="1" ht="12.75" x14ac:dyDescent="0.2"/>
    <row r="52" s="131" customFormat="1" ht="12.75" x14ac:dyDescent="0.2"/>
    <row r="53" s="131" customFormat="1" ht="12.75" x14ac:dyDescent="0.2"/>
    <row r="54" s="131" customFormat="1" ht="12.75" x14ac:dyDescent="0.2"/>
    <row r="55" s="131" customFormat="1" ht="12.75" x14ac:dyDescent="0.2"/>
    <row r="56" s="131" customFormat="1" ht="12.75" x14ac:dyDescent="0.2"/>
    <row r="57" s="131" customFormat="1" ht="12.75" x14ac:dyDescent="0.2"/>
    <row r="58" s="131" customFormat="1" ht="12.75" x14ac:dyDescent="0.2"/>
    <row r="59" s="131" customFormat="1" ht="12.75" x14ac:dyDescent="0.2"/>
    <row r="60" s="131" customFormat="1" ht="12.75" x14ac:dyDescent="0.2"/>
    <row r="61" s="131" customFormat="1" ht="12.75" x14ac:dyDescent="0.2"/>
    <row r="62" s="131" customFormat="1" ht="12.75" x14ac:dyDescent="0.2"/>
    <row r="63" s="131" customFormat="1" ht="12.75" x14ac:dyDescent="0.2"/>
    <row r="64" s="131" customFormat="1" ht="12.75" x14ac:dyDescent="0.2"/>
    <row r="65" s="131" customFormat="1" ht="12.75" x14ac:dyDescent="0.2"/>
    <row r="66" s="131" customFormat="1" ht="12.75" x14ac:dyDescent="0.2"/>
    <row r="67" s="131" customFormat="1" ht="12.75" x14ac:dyDescent="0.2"/>
    <row r="68" s="131" customFormat="1" ht="12.75" x14ac:dyDescent="0.2"/>
    <row r="69" s="131" customFormat="1" ht="12.75" x14ac:dyDescent="0.2"/>
    <row r="70" s="131" customFormat="1" ht="12.75" x14ac:dyDescent="0.2"/>
    <row r="71" s="131" customFormat="1" ht="12.75" x14ac:dyDescent="0.2"/>
    <row r="72" s="131" customFormat="1" ht="12.75" x14ac:dyDescent="0.2"/>
    <row r="73" s="131" customFormat="1" ht="12.75" x14ac:dyDescent="0.2"/>
    <row r="74" s="131" customFormat="1" ht="12.75" x14ac:dyDescent="0.2"/>
    <row r="75" s="131" customFormat="1" ht="12.75" x14ac:dyDescent="0.2"/>
    <row r="76" s="131" customFormat="1" ht="12.75" x14ac:dyDescent="0.2"/>
    <row r="77" s="131" customFormat="1" ht="12.75" x14ac:dyDescent="0.2"/>
    <row r="78" s="131" customFormat="1" ht="12.75" x14ac:dyDescent="0.2"/>
    <row r="79" s="131" customFormat="1" ht="12.75" x14ac:dyDescent="0.2"/>
    <row r="80" s="131" customFormat="1" ht="12.75" x14ac:dyDescent="0.2"/>
    <row r="81" s="131" customFormat="1" ht="12.75" x14ac:dyDescent="0.2"/>
    <row r="82" s="131" customFormat="1" ht="12.75" x14ac:dyDescent="0.2"/>
    <row r="83" s="131" customFormat="1" ht="12.75" x14ac:dyDescent="0.2"/>
    <row r="84" s="131" customFormat="1" ht="12.75" x14ac:dyDescent="0.2"/>
    <row r="85" s="131" customFormat="1" ht="12.75" x14ac:dyDescent="0.2"/>
    <row r="86" s="131" customFormat="1" ht="12.75" x14ac:dyDescent="0.2"/>
    <row r="87" s="131" customFormat="1" ht="12.75" x14ac:dyDescent="0.2"/>
    <row r="88" s="131" customFormat="1" ht="12.75" x14ac:dyDescent="0.2"/>
    <row r="89" s="131" customFormat="1" ht="12.75" x14ac:dyDescent="0.2"/>
    <row r="90" s="131" customFormat="1" ht="12.75" x14ac:dyDescent="0.2"/>
    <row r="91" s="131" customFormat="1" ht="12.75" x14ac:dyDescent="0.2"/>
    <row r="92" s="131" customFormat="1" ht="12.75" x14ac:dyDescent="0.2"/>
    <row r="93" s="131" customFormat="1" ht="12.75" x14ac:dyDescent="0.2"/>
    <row r="94" s="131" customFormat="1" ht="12.75" x14ac:dyDescent="0.2"/>
    <row r="95" s="131" customFormat="1" ht="12.75" x14ac:dyDescent="0.2"/>
    <row r="96" s="131" customFormat="1" ht="12.75" x14ac:dyDescent="0.2"/>
    <row r="97" spans="3:9" s="131" customFormat="1" ht="12.75" x14ac:dyDescent="0.2"/>
    <row r="98" spans="3:9" s="131" customFormat="1" ht="12.75" x14ac:dyDescent="0.2"/>
    <row r="99" spans="3:9" s="131" customFormat="1" ht="12.75" x14ac:dyDescent="0.2"/>
    <row r="100" spans="3:9" s="131" customFormat="1" ht="12.75" x14ac:dyDescent="0.2"/>
    <row r="101" spans="3:9" s="131" customFormat="1" ht="12.75" x14ac:dyDescent="0.2"/>
    <row r="102" spans="3:9" s="131" customFormat="1" ht="12.75" x14ac:dyDescent="0.2"/>
    <row r="103" spans="3:9" s="131" customFormat="1" ht="12.75" x14ac:dyDescent="0.2"/>
    <row r="104" spans="3:9" s="131" customFormat="1" ht="12.75" x14ac:dyDescent="0.2"/>
    <row r="105" spans="3:9" s="131" customFormat="1" ht="12.75" x14ac:dyDescent="0.2"/>
    <row r="106" spans="3:9" s="131" customFormat="1" ht="12.75" x14ac:dyDescent="0.2"/>
    <row r="107" spans="3:9" s="131" customFormat="1" ht="12.75" x14ac:dyDescent="0.2"/>
    <row r="108" spans="3:9" s="131" customFormat="1" ht="12.75" x14ac:dyDescent="0.2"/>
    <row r="109" spans="3:9" s="131" customFormat="1" ht="12.75" x14ac:dyDescent="0.2"/>
    <row r="110" spans="3:9" s="131" customFormat="1" ht="12.75" x14ac:dyDescent="0.2"/>
    <row r="111" spans="3:9" s="131" customFormat="1" x14ac:dyDescent="0.25">
      <c r="I111" s="116"/>
    </row>
    <row r="112" spans="3:9" x14ac:dyDescent="0.25">
      <c r="C112" s="131"/>
    </row>
    <row r="113" spans="3:3" x14ac:dyDescent="0.25">
      <c r="C113" s="131"/>
    </row>
    <row r="114" spans="3:3" x14ac:dyDescent="0.25">
      <c r="C114" s="131"/>
    </row>
    <row r="115" spans="3:3" x14ac:dyDescent="0.25">
      <c r="C115" s="131"/>
    </row>
    <row r="116" spans="3:3" x14ac:dyDescent="0.25">
      <c r="C116" s="131"/>
    </row>
    <row r="117" spans="3:3" x14ac:dyDescent="0.25">
      <c r="C117" s="131"/>
    </row>
    <row r="118" spans="3:3" x14ac:dyDescent="0.25">
      <c r="C118" s="131"/>
    </row>
    <row r="119" spans="3:3" x14ac:dyDescent="0.25">
      <c r="C119" s="131"/>
    </row>
    <row r="120" spans="3:3" x14ac:dyDescent="0.25">
      <c r="C120" s="131"/>
    </row>
    <row r="121" spans="3:3" x14ac:dyDescent="0.25">
      <c r="C121" s="131"/>
    </row>
  </sheetData>
  <hyperlinks>
    <hyperlink ref="D20" location="'1. Info'!A1" display="1. Info" xr:uid="{B7CF0CDD-543F-41C5-B519-8338792B2273}"/>
    <hyperlink ref="D22" location="'2. Table of Contents'!A1" display="2. Table of Contents" xr:uid="{A23C3E4F-67EB-4CC1-A8C2-BD529DDDA1D2}"/>
    <hyperlink ref="D24" location="'3. RRR Data'!A1" display="3. RRR Data" xr:uid="{E4EAD1C6-EA8E-4311-9DD9-556AF98374AC}"/>
    <hyperlink ref="D26" location="'4. UTRs and Sub-Transmission'!A1" display="4. UTRs and Sub-Transmission" xr:uid="{14075FF9-75B6-4C24-A0EB-CBBC380B6E7E}"/>
    <hyperlink ref="I20" location="'5. Historical Wholesale'!A1" display="5. Historical Wholesale" xr:uid="{84780C9A-E000-4C40-A418-867333D0C294}"/>
    <hyperlink ref="I22" location="'6. Current Wholesale'!A1" display="6. Current Wholesale" xr:uid="{9BC16717-1CDA-4C6F-B7C2-AE3245C3D361}"/>
    <hyperlink ref="I24" location="'7. Forecast Wholesale'!A1" display="7. Forecast Wholesale" xr:uid="{E4CD1583-276B-45A9-B9CC-B9D8965819D7}"/>
    <hyperlink ref="I26" location="'8. RTSR Rates to Forecast'!A1" display="8. RTSR Rates to Forecast" xr:uid="{E364F9E4-471D-4238-B2A3-6A8C1592EE61}"/>
    <hyperlink ref="I28" location="'9. LV Rates'!A1" display="9. LV Rates" xr:uid="{1DB87824-1D7D-4F07-9EDF-371A40CFF94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824C6-8B24-4921-B060-661D948A150A}">
  <dimension ref="A1:AZ59"/>
  <sheetViews>
    <sheetView workbookViewId="0">
      <selection activeCell="I29" sqref="I29"/>
    </sheetView>
  </sheetViews>
  <sheetFormatPr defaultColWidth="13.7109375" defaultRowHeight="12.75" x14ac:dyDescent="0.2"/>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x14ac:dyDescent="0.2">
      <c r="AZ1" s="2">
        <v>1</v>
      </c>
    </row>
    <row r="13" spans="1:52" ht="33" customHeight="1" thickBot="1" x14ac:dyDescent="0.25">
      <c r="A13" s="218" t="s">
        <v>4</v>
      </c>
      <c r="B13" s="218"/>
      <c r="C13" s="218"/>
      <c r="D13" s="218"/>
      <c r="E13" s="218"/>
      <c r="F13" s="218"/>
      <c r="G13" s="218"/>
      <c r="H13" s="218"/>
      <c r="I13" s="3"/>
      <c r="J13" s="3"/>
      <c r="K13" s="3"/>
      <c r="L13" s="3"/>
    </row>
    <row r="14" spans="1:52" ht="18.75" thickBot="1" x14ac:dyDescent="0.3">
      <c r="A14" s="4" t="s">
        <v>5</v>
      </c>
      <c r="B14" s="5">
        <v>0.17</v>
      </c>
    </row>
    <row r="15" spans="1:52" ht="45" x14ac:dyDescent="0.25">
      <c r="A15" s="6" t="s">
        <v>6</v>
      </c>
      <c r="B15" s="6" t="s">
        <v>7</v>
      </c>
      <c r="C15" s="7" t="s">
        <v>8</v>
      </c>
      <c r="D15" s="8" t="s">
        <v>9</v>
      </c>
      <c r="E15" s="9" t="s">
        <v>10</v>
      </c>
      <c r="F15" s="9" t="s">
        <v>11</v>
      </c>
      <c r="G15" s="10" t="s">
        <v>12</v>
      </c>
      <c r="H15" s="11" t="s">
        <v>13</v>
      </c>
      <c r="I15" s="11"/>
    </row>
    <row r="16" spans="1:52" x14ac:dyDescent="0.2">
      <c r="A16" s="126" t="s">
        <v>213</v>
      </c>
      <c r="D16" s="12"/>
      <c r="E16" s="13"/>
      <c r="F16" s="13"/>
      <c r="G16" s="12"/>
    </row>
    <row r="17" spans="1:10" x14ac:dyDescent="0.2">
      <c r="A17" s="1" t="s">
        <v>14</v>
      </c>
      <c r="B17" s="1" t="s">
        <v>15</v>
      </c>
      <c r="C17" s="14" t="s">
        <v>16</v>
      </c>
      <c r="D17" s="15">
        <v>1.17E-2</v>
      </c>
      <c r="E17" s="16">
        <v>1076024602.7270098</v>
      </c>
      <c r="F17" s="16">
        <v>0</v>
      </c>
      <c r="G17" s="17">
        <v>1.0415000000000001</v>
      </c>
      <c r="H17" s="13">
        <f>E17*G17</f>
        <v>1120679623.7401807</v>
      </c>
    </row>
    <row r="18" spans="1:10" x14ac:dyDescent="0.2">
      <c r="A18" s="1" t="s">
        <v>14</v>
      </c>
      <c r="B18" s="1" t="s">
        <v>17</v>
      </c>
      <c r="C18" s="14" t="s">
        <v>16</v>
      </c>
      <c r="D18" s="15">
        <v>8.0000000000000002E-3</v>
      </c>
      <c r="E18" s="16">
        <f>E17</f>
        <v>1076024602.7270098</v>
      </c>
      <c r="F18" s="16">
        <v>0</v>
      </c>
      <c r="G18" s="17">
        <f>G17</f>
        <v>1.0415000000000001</v>
      </c>
      <c r="H18" s="13">
        <f>E18*G18</f>
        <v>1120679623.7401807</v>
      </c>
    </row>
    <row r="19" spans="1:10" x14ac:dyDescent="0.2">
      <c r="A19" s="1" t="s">
        <v>18</v>
      </c>
      <c r="B19" s="1" t="s">
        <v>15</v>
      </c>
      <c r="C19" s="14" t="s">
        <v>16</v>
      </c>
      <c r="D19" s="15">
        <v>1.2200000000000001E-2</v>
      </c>
      <c r="E19" s="16">
        <v>13136538.197903417</v>
      </c>
      <c r="F19" s="16">
        <v>0</v>
      </c>
      <c r="G19" s="17">
        <v>1.0415000000000001</v>
      </c>
      <c r="H19" s="13">
        <f t="shared" ref="H19:H22" si="0">E19*G19</f>
        <v>13681704.53311641</v>
      </c>
    </row>
    <row r="20" spans="1:10" x14ac:dyDescent="0.2">
      <c r="A20" s="1" t="s">
        <v>18</v>
      </c>
      <c r="B20" s="1" t="s">
        <v>17</v>
      </c>
      <c r="C20" s="14" t="s">
        <v>16</v>
      </c>
      <c r="D20" s="15">
        <v>1.03E-2</v>
      </c>
      <c r="E20" s="16">
        <f>E19</f>
        <v>13136538.197903417</v>
      </c>
      <c r="F20" s="16">
        <v>0</v>
      </c>
      <c r="G20" s="17">
        <f>G19</f>
        <v>1.0415000000000001</v>
      </c>
      <c r="H20" s="13">
        <f t="shared" si="0"/>
        <v>13681704.53311641</v>
      </c>
    </row>
    <row r="21" spans="1:10" x14ac:dyDescent="0.2">
      <c r="A21" s="1" t="s">
        <v>19</v>
      </c>
      <c r="B21" s="1" t="s">
        <v>15</v>
      </c>
      <c r="C21" s="14" t="s">
        <v>16</v>
      </c>
      <c r="D21" s="15">
        <v>1.0699999999999999E-2</v>
      </c>
      <c r="E21" s="16">
        <v>268523602.53119963</v>
      </c>
      <c r="F21" s="16">
        <v>0</v>
      </c>
      <c r="G21" s="17">
        <v>1.0415000000000001</v>
      </c>
      <c r="H21" s="13">
        <f t="shared" si="0"/>
        <v>279667332.03624445</v>
      </c>
    </row>
    <row r="22" spans="1:10" x14ac:dyDescent="0.2">
      <c r="A22" s="1" t="s">
        <v>19</v>
      </c>
      <c r="B22" s="1" t="s">
        <v>17</v>
      </c>
      <c r="C22" s="14" t="s">
        <v>16</v>
      </c>
      <c r="D22" s="15">
        <v>7.4999999999999997E-3</v>
      </c>
      <c r="E22" s="16">
        <f>E21</f>
        <v>268523602.53119963</v>
      </c>
      <c r="F22" s="16">
        <v>0</v>
      </c>
      <c r="G22" s="17">
        <f>G21</f>
        <v>1.0415000000000001</v>
      </c>
      <c r="H22" s="13">
        <f t="shared" si="0"/>
        <v>279667332.03624445</v>
      </c>
    </row>
    <row r="23" spans="1:10" x14ac:dyDescent="0.2">
      <c r="A23" s="1" t="s">
        <v>20</v>
      </c>
      <c r="B23" s="1" t="s">
        <v>15</v>
      </c>
      <c r="C23" s="14" t="s">
        <v>21</v>
      </c>
      <c r="D23" s="15">
        <v>5.2130999999999998</v>
      </c>
      <c r="E23" s="18">
        <v>974331973.83720231</v>
      </c>
      <c r="F23" s="19">
        <v>2362640.1919924114</v>
      </c>
      <c r="G23" s="12"/>
      <c r="I23" s="216"/>
      <c r="J23" s="216"/>
    </row>
    <row r="24" spans="1:10" x14ac:dyDescent="0.2">
      <c r="A24" s="1" t="s">
        <v>20</v>
      </c>
      <c r="B24" s="1" t="s">
        <v>17</v>
      </c>
      <c r="C24" s="14" t="s">
        <v>21</v>
      </c>
      <c r="D24" s="15">
        <v>3.4744999999999999</v>
      </c>
      <c r="E24" s="20">
        <f>E23</f>
        <v>974331973.83720231</v>
      </c>
      <c r="F24" s="21">
        <f>F23</f>
        <v>2362640.1919924114</v>
      </c>
      <c r="G24" s="12"/>
      <c r="I24" s="216"/>
      <c r="J24" s="216"/>
    </row>
    <row r="25" spans="1:10" x14ac:dyDescent="0.2">
      <c r="A25" s="1" t="s">
        <v>20</v>
      </c>
      <c r="B25" s="1" t="s">
        <v>22</v>
      </c>
      <c r="C25" s="14" t="s">
        <v>21</v>
      </c>
      <c r="D25" s="15">
        <f>D23*$B$14</f>
        <v>0.88622699999999999</v>
      </c>
      <c r="E25" s="22">
        <v>319720.34067624924</v>
      </c>
      <c r="F25" s="19">
        <v>15376.161525027419</v>
      </c>
      <c r="G25" s="12"/>
      <c r="I25" s="216"/>
      <c r="J25" s="216"/>
    </row>
    <row r="26" spans="1:10" x14ac:dyDescent="0.2">
      <c r="A26" s="1" t="s">
        <v>20</v>
      </c>
      <c r="B26" s="1" t="s">
        <v>23</v>
      </c>
      <c r="C26" s="14" t="s">
        <v>21</v>
      </c>
      <c r="D26" s="15">
        <f>D24*$B$14</f>
        <v>0.590665</v>
      </c>
      <c r="E26" s="18">
        <f>E25</f>
        <v>319720.34067624924</v>
      </c>
      <c r="F26" s="19">
        <f>F25</f>
        <v>15376.161525027419</v>
      </c>
      <c r="G26" s="12"/>
    </row>
    <row r="27" spans="1:10" x14ac:dyDescent="0.2">
      <c r="A27" s="1" t="s">
        <v>24</v>
      </c>
      <c r="B27" s="1" t="s">
        <v>15</v>
      </c>
      <c r="C27" s="14" t="s">
        <v>21</v>
      </c>
      <c r="D27" s="15">
        <v>5.7435</v>
      </c>
      <c r="E27" s="18">
        <v>172116717.77200511</v>
      </c>
      <c r="F27" s="19">
        <v>391116.45656887733</v>
      </c>
      <c r="G27" s="12"/>
    </row>
    <row r="28" spans="1:10" x14ac:dyDescent="0.2">
      <c r="A28" s="1" t="s">
        <v>24</v>
      </c>
      <c r="B28" s="1" t="s">
        <v>25</v>
      </c>
      <c r="C28" s="14" t="s">
        <v>21</v>
      </c>
      <c r="D28" s="15">
        <v>3.8157999999999999</v>
      </c>
      <c r="E28" s="20">
        <f>E27</f>
        <v>172116717.77200511</v>
      </c>
      <c r="F28" s="21">
        <f>F27</f>
        <v>391116.45656887733</v>
      </c>
      <c r="G28" s="12"/>
    </row>
    <row r="29" spans="1:10" x14ac:dyDescent="0.2">
      <c r="A29" s="1" t="s">
        <v>24</v>
      </c>
      <c r="B29" s="1" t="s">
        <v>22</v>
      </c>
      <c r="C29" s="14" t="s">
        <v>21</v>
      </c>
      <c r="D29" s="15">
        <f>D27*$B$14</f>
        <v>0.97639500000000012</v>
      </c>
      <c r="E29" s="22">
        <v>0</v>
      </c>
      <c r="F29" s="23">
        <v>0</v>
      </c>
      <c r="G29" s="12"/>
    </row>
    <row r="30" spans="1:10" x14ac:dyDescent="0.2">
      <c r="A30" s="1" t="s">
        <v>24</v>
      </c>
      <c r="B30" s="1" t="s">
        <v>26</v>
      </c>
      <c r="C30" s="14" t="s">
        <v>21</v>
      </c>
      <c r="D30" s="15">
        <f>D28*$B$14</f>
        <v>0.64868599999999998</v>
      </c>
      <c r="E30" s="20">
        <f>E29</f>
        <v>0</v>
      </c>
      <c r="F30" s="21">
        <v>0</v>
      </c>
      <c r="G30" s="12"/>
    </row>
    <row r="31" spans="1:10" x14ac:dyDescent="0.2">
      <c r="A31" s="1" t="s">
        <v>27</v>
      </c>
      <c r="B31" s="1" t="s">
        <v>15</v>
      </c>
      <c r="C31" s="14" t="s">
        <v>21</v>
      </c>
      <c r="D31" s="15">
        <v>5.7435</v>
      </c>
      <c r="E31" s="16">
        <v>434995956.70026404</v>
      </c>
      <c r="F31" s="16">
        <v>742951.90772589517</v>
      </c>
      <c r="G31" s="12"/>
    </row>
    <row r="32" spans="1:10" x14ac:dyDescent="0.2">
      <c r="A32" s="1" t="s">
        <v>27</v>
      </c>
      <c r="B32" s="1" t="s">
        <v>25</v>
      </c>
      <c r="C32" s="14" t="s">
        <v>21</v>
      </c>
      <c r="D32" s="15">
        <v>3.8157999999999999</v>
      </c>
      <c r="E32" s="16">
        <f>E31</f>
        <v>434995956.70026404</v>
      </c>
      <c r="F32" s="16">
        <f>F31</f>
        <v>742951.90772589517</v>
      </c>
      <c r="G32" s="12"/>
    </row>
    <row r="33" spans="1:10" x14ac:dyDescent="0.2">
      <c r="A33" s="1" t="s">
        <v>28</v>
      </c>
      <c r="B33" s="1" t="s">
        <v>15</v>
      </c>
      <c r="C33" s="14" t="s">
        <v>16</v>
      </c>
      <c r="D33" s="15">
        <v>1.0699999999999999E-2</v>
      </c>
      <c r="E33" s="16">
        <v>4588884.6673883721</v>
      </c>
      <c r="F33" s="16">
        <v>0</v>
      </c>
      <c r="G33" s="17">
        <v>1.0415000000000001</v>
      </c>
      <c r="H33" s="13">
        <f t="shared" ref="H33:H34" si="1">E33*G33</f>
        <v>4779323.3810849898</v>
      </c>
    </row>
    <row r="34" spans="1:10" x14ac:dyDescent="0.2">
      <c r="A34" s="1" t="s">
        <v>28</v>
      </c>
      <c r="B34" s="1" t="s">
        <v>17</v>
      </c>
      <c r="C34" s="14" t="s">
        <v>16</v>
      </c>
      <c r="D34" s="15">
        <v>7.4999999999999997E-3</v>
      </c>
      <c r="E34" s="16">
        <f>E33</f>
        <v>4588884.6673883721</v>
      </c>
      <c r="F34" s="16">
        <v>0</v>
      </c>
      <c r="G34" s="17">
        <f>G33</f>
        <v>1.0415000000000001</v>
      </c>
      <c r="H34" s="13">
        <f t="shared" si="1"/>
        <v>4779323.3810849898</v>
      </c>
    </row>
    <row r="35" spans="1:10" x14ac:dyDescent="0.2">
      <c r="A35" s="1" t="s">
        <v>29</v>
      </c>
      <c r="B35" s="1" t="s">
        <v>15</v>
      </c>
      <c r="C35" s="14" t="s">
        <v>21</v>
      </c>
      <c r="D35" s="15">
        <v>3.2515999999999998</v>
      </c>
      <c r="E35" s="16">
        <v>81257.397810338269</v>
      </c>
      <c r="F35" s="16">
        <v>569.18081677203395</v>
      </c>
      <c r="G35" s="12"/>
    </row>
    <row r="36" spans="1:10" x14ac:dyDescent="0.2">
      <c r="A36" s="1" t="s">
        <v>29</v>
      </c>
      <c r="B36" s="1" t="s">
        <v>17</v>
      </c>
      <c r="C36" s="14" t="s">
        <v>21</v>
      </c>
      <c r="D36" s="15">
        <v>2.1844000000000001</v>
      </c>
      <c r="E36" s="16">
        <f>E35</f>
        <v>81257.397810338269</v>
      </c>
      <c r="F36" s="16">
        <f>F35</f>
        <v>569.18081677203395</v>
      </c>
      <c r="G36" s="12"/>
    </row>
    <row r="37" spans="1:10" x14ac:dyDescent="0.2">
      <c r="A37" s="1" t="s">
        <v>30</v>
      </c>
      <c r="B37" s="1" t="s">
        <v>15</v>
      </c>
      <c r="C37" s="14" t="s">
        <v>21</v>
      </c>
      <c r="D37" s="15">
        <v>3.4237000000000002</v>
      </c>
      <c r="E37" s="16">
        <v>11913243.997131227</v>
      </c>
      <c r="F37" s="16">
        <v>33229.794206584047</v>
      </c>
      <c r="G37" s="12"/>
    </row>
    <row r="38" spans="1:10" x14ac:dyDescent="0.2">
      <c r="A38" s="1" t="s">
        <v>30</v>
      </c>
      <c r="B38" s="1" t="s">
        <v>17</v>
      </c>
      <c r="C38" s="14" t="s">
        <v>21</v>
      </c>
      <c r="D38" s="15">
        <v>2.2826</v>
      </c>
      <c r="E38" s="16">
        <f>E37</f>
        <v>11913243.997131227</v>
      </c>
      <c r="F38" s="16">
        <f>F37</f>
        <v>33229.794206584047</v>
      </c>
      <c r="G38" s="12"/>
    </row>
    <row r="39" spans="1:10" x14ac:dyDescent="0.2">
      <c r="A39" s="126" t="s">
        <v>214</v>
      </c>
      <c r="C39" s="14"/>
      <c r="D39" s="15"/>
      <c r="E39" s="16"/>
      <c r="F39" s="16"/>
      <c r="G39" s="12"/>
    </row>
    <row r="40" spans="1:10" x14ac:dyDescent="0.2">
      <c r="A40" s="1" t="s">
        <v>14</v>
      </c>
      <c r="B40" s="1" t="s">
        <v>15</v>
      </c>
      <c r="C40" s="1" t="s">
        <v>16</v>
      </c>
      <c r="D40" s="1">
        <v>1.3100000000000001E-2</v>
      </c>
      <c r="E40" s="13">
        <v>420144437.02356291</v>
      </c>
      <c r="F40" s="1">
        <v>0</v>
      </c>
      <c r="G40" s="12">
        <f>G17</f>
        <v>1.0415000000000001</v>
      </c>
      <c r="H40" s="13">
        <f t="shared" ref="H40:H43" si="2">E40*G40</f>
        <v>437580431.1600408</v>
      </c>
    </row>
    <row r="41" spans="1:10" x14ac:dyDescent="0.2">
      <c r="A41" s="1" t="s">
        <v>14</v>
      </c>
      <c r="B41" s="1" t="s">
        <v>17</v>
      </c>
      <c r="C41" s="1" t="s">
        <v>16</v>
      </c>
      <c r="D41" s="12">
        <v>9.9000000000000008E-3</v>
      </c>
      <c r="E41" s="118">
        <f>E40</f>
        <v>420144437.02356291</v>
      </c>
      <c r="F41" s="1">
        <v>0</v>
      </c>
      <c r="G41" s="12">
        <f>G18</f>
        <v>1.0415000000000001</v>
      </c>
      <c r="H41" s="13">
        <f t="shared" si="2"/>
        <v>437580431.1600408</v>
      </c>
    </row>
    <row r="42" spans="1:10" x14ac:dyDescent="0.2">
      <c r="A42" s="1" t="s">
        <v>19</v>
      </c>
      <c r="B42" s="1" t="s">
        <v>15</v>
      </c>
      <c r="C42" s="1" t="s">
        <v>16</v>
      </c>
      <c r="D42" s="1">
        <v>1.2E-2</v>
      </c>
      <c r="E42" s="118">
        <v>86253887.390901923</v>
      </c>
      <c r="F42" s="1">
        <v>0</v>
      </c>
      <c r="G42" s="12">
        <f>G19</f>
        <v>1.0415000000000001</v>
      </c>
      <c r="H42" s="13">
        <f t="shared" si="2"/>
        <v>89833423.717624366</v>
      </c>
    </row>
    <row r="43" spans="1:10" x14ac:dyDescent="0.2">
      <c r="A43" s="1" t="s">
        <v>19</v>
      </c>
      <c r="B43" s="1" t="s">
        <v>17</v>
      </c>
      <c r="C43" s="1" t="s">
        <v>16</v>
      </c>
      <c r="D43" s="1">
        <v>9.4000000000000004E-3</v>
      </c>
      <c r="E43" s="118">
        <f>E42</f>
        <v>86253887.390901923</v>
      </c>
      <c r="F43" s="1">
        <v>0</v>
      </c>
      <c r="G43" s="12">
        <f>G20</f>
        <v>1.0415000000000001</v>
      </c>
      <c r="H43" s="13">
        <f t="shared" si="2"/>
        <v>89833423.717624366</v>
      </c>
    </row>
    <row r="44" spans="1:10" x14ac:dyDescent="0.2">
      <c r="A44" s="1" t="s">
        <v>81</v>
      </c>
      <c r="B44" s="1" t="s">
        <v>15</v>
      </c>
      <c r="C44" s="1" t="s">
        <v>21</v>
      </c>
      <c r="D44" s="1">
        <v>4.7407000000000004</v>
      </c>
      <c r="E44" s="118">
        <v>352177269.32665658</v>
      </c>
      <c r="F44" s="13">
        <v>873611.37581231177</v>
      </c>
      <c r="G44" s="1">
        <v>0</v>
      </c>
      <c r="H44" s="1">
        <v>0</v>
      </c>
    </row>
    <row r="45" spans="1:10" x14ac:dyDescent="0.2">
      <c r="A45" s="1" t="s">
        <v>81</v>
      </c>
      <c r="B45" s="1" t="s">
        <v>17</v>
      </c>
      <c r="C45" s="1" t="s">
        <v>21</v>
      </c>
      <c r="D45" s="1">
        <v>3.5516999999999999</v>
      </c>
      <c r="E45" s="118">
        <f>E44</f>
        <v>352177269.32665658</v>
      </c>
      <c r="F45" s="13">
        <f>F44</f>
        <v>873611.37581231177</v>
      </c>
      <c r="G45" s="1">
        <v>0</v>
      </c>
      <c r="H45" s="1">
        <v>0</v>
      </c>
      <c r="I45" s="216">
        <v>0.99848527221848349</v>
      </c>
      <c r="J45" s="216">
        <v>0.99472005236504479</v>
      </c>
    </row>
    <row r="46" spans="1:10" x14ac:dyDescent="0.2">
      <c r="A46" s="1" t="s">
        <v>81</v>
      </c>
      <c r="B46" s="1" t="s">
        <v>22</v>
      </c>
      <c r="C46" s="1" t="s">
        <v>21</v>
      </c>
      <c r="D46" s="1">
        <v>0.80589999999999995</v>
      </c>
      <c r="E46" s="118">
        <v>534261.95529403293</v>
      </c>
      <c r="F46" s="13">
        <v>4637.1059944184362</v>
      </c>
      <c r="G46" s="1">
        <v>0</v>
      </c>
      <c r="H46" s="1">
        <v>0</v>
      </c>
      <c r="I46" s="216"/>
      <c r="J46" s="216"/>
    </row>
    <row r="47" spans="1:10" x14ac:dyDescent="0.2">
      <c r="A47" s="1" t="s">
        <v>81</v>
      </c>
      <c r="B47" s="1" t="s">
        <v>23</v>
      </c>
      <c r="C47" s="1" t="s">
        <v>21</v>
      </c>
      <c r="D47" s="1">
        <v>0.6038</v>
      </c>
      <c r="E47" s="118">
        <f>E46</f>
        <v>534261.95529403293</v>
      </c>
      <c r="F47" s="120">
        <f>F46</f>
        <v>4637.1059944184362</v>
      </c>
      <c r="G47" s="1">
        <v>0</v>
      </c>
      <c r="H47" s="1">
        <v>0</v>
      </c>
      <c r="I47" s="216">
        <v>1.514727781516603E-3</v>
      </c>
      <c r="J47" s="216">
        <v>5.2799476349551953E-3</v>
      </c>
    </row>
    <row r="48" spans="1:10" x14ac:dyDescent="0.2">
      <c r="A48" s="1" t="s">
        <v>24</v>
      </c>
      <c r="B48" s="1" t="s">
        <v>15</v>
      </c>
      <c r="C48" s="1" t="s">
        <v>16</v>
      </c>
      <c r="E48" s="118">
        <v>110623418.91159096</v>
      </c>
      <c r="F48" s="13">
        <v>213176.98722894766</v>
      </c>
    </row>
    <row r="49" spans="1:8" x14ac:dyDescent="0.2">
      <c r="A49" s="1" t="s">
        <v>24</v>
      </c>
      <c r="B49" s="1" t="s">
        <v>25</v>
      </c>
      <c r="C49" s="1" t="s">
        <v>16</v>
      </c>
      <c r="E49" s="118">
        <f>E48</f>
        <v>110623418.91159096</v>
      </c>
      <c r="F49" s="13">
        <f>F48</f>
        <v>213176.98722894766</v>
      </c>
    </row>
    <row r="50" spans="1:8" x14ac:dyDescent="0.2">
      <c r="A50" s="1" t="s">
        <v>24</v>
      </c>
      <c r="B50" s="1" t="s">
        <v>22</v>
      </c>
      <c r="C50" s="1" t="s">
        <v>21</v>
      </c>
      <c r="E50" s="118"/>
    </row>
    <row r="51" spans="1:8" x14ac:dyDescent="0.2">
      <c r="A51" s="1" t="s">
        <v>24</v>
      </c>
      <c r="B51" s="1" t="s">
        <v>26</v>
      </c>
      <c r="C51" s="1" t="s">
        <v>21</v>
      </c>
      <c r="E51" s="118"/>
    </row>
    <row r="52" spans="1:8" x14ac:dyDescent="0.2">
      <c r="A52" s="1" t="s">
        <v>28</v>
      </c>
      <c r="B52" s="1" t="s">
        <v>15</v>
      </c>
      <c r="C52" s="1" t="s">
        <v>16</v>
      </c>
      <c r="D52" s="1">
        <v>1.2E-2</v>
      </c>
      <c r="E52" s="118">
        <v>1890889.2596984764</v>
      </c>
      <c r="F52" s="1">
        <v>0</v>
      </c>
      <c r="G52" s="12">
        <f>G33</f>
        <v>1.0415000000000001</v>
      </c>
      <c r="H52" s="13">
        <f t="shared" ref="H52:H53" si="3">E52*G52</f>
        <v>1969361.1639759634</v>
      </c>
    </row>
    <row r="53" spans="1:8" x14ac:dyDescent="0.2">
      <c r="A53" s="1" t="s">
        <v>28</v>
      </c>
      <c r="B53" s="1" t="s">
        <v>17</v>
      </c>
      <c r="C53" s="1" t="s">
        <v>16</v>
      </c>
      <c r="D53" s="1">
        <v>9.4000000000000004E-3</v>
      </c>
      <c r="E53" s="118">
        <f>E52</f>
        <v>1890889.2596984764</v>
      </c>
      <c r="F53" s="1">
        <v>0</v>
      </c>
      <c r="G53" s="12">
        <f>G34</f>
        <v>1.0415000000000001</v>
      </c>
      <c r="H53" s="13">
        <f t="shared" si="3"/>
        <v>1969361.1639759634</v>
      </c>
    </row>
    <row r="54" spans="1:8" x14ac:dyDescent="0.2">
      <c r="A54" s="1" t="s">
        <v>29</v>
      </c>
      <c r="B54" s="1" t="s">
        <v>15</v>
      </c>
      <c r="C54" s="1" t="s">
        <v>21</v>
      </c>
      <c r="D54" s="1">
        <v>3.5928</v>
      </c>
      <c r="E54" s="118">
        <v>6200.3547820638823</v>
      </c>
      <c r="F54" s="13">
        <v>85.218072750022259</v>
      </c>
      <c r="G54" s="1">
        <v>0</v>
      </c>
      <c r="H54" s="1">
        <v>0</v>
      </c>
    </row>
    <row r="55" spans="1:8" x14ac:dyDescent="0.2">
      <c r="A55" s="1" t="s">
        <v>29</v>
      </c>
      <c r="B55" s="1" t="s">
        <v>17</v>
      </c>
      <c r="C55" s="1" t="s">
        <v>21</v>
      </c>
      <c r="D55" s="1">
        <v>2.8033000000000001</v>
      </c>
      <c r="E55" s="118">
        <f>E54</f>
        <v>6200.3547820638823</v>
      </c>
      <c r="F55" s="13">
        <f>F54</f>
        <v>85.218072750022259</v>
      </c>
      <c r="G55" s="1">
        <v>0</v>
      </c>
      <c r="H55" s="1">
        <v>0</v>
      </c>
    </row>
    <row r="56" spans="1:8" x14ac:dyDescent="0.2">
      <c r="A56" s="1" t="s">
        <v>30</v>
      </c>
      <c r="B56" s="1" t="s">
        <v>15</v>
      </c>
      <c r="C56" s="1" t="s">
        <v>21</v>
      </c>
      <c r="D56" s="1">
        <v>3.5754999999999999</v>
      </c>
      <c r="E56" s="118">
        <v>3711804.5975439399</v>
      </c>
      <c r="F56" s="13">
        <v>10314.47561207424</v>
      </c>
      <c r="G56" s="1">
        <v>0</v>
      </c>
      <c r="H56" s="1">
        <v>0</v>
      </c>
    </row>
    <row r="57" spans="1:8" x14ac:dyDescent="0.2">
      <c r="A57" s="1" t="s">
        <v>30</v>
      </c>
      <c r="B57" s="1" t="s">
        <v>17</v>
      </c>
      <c r="C57" s="1" t="s">
        <v>21</v>
      </c>
      <c r="D57" s="1">
        <v>2.7458999999999998</v>
      </c>
      <c r="E57" s="118">
        <f>E56</f>
        <v>3711804.5975439399</v>
      </c>
      <c r="F57" s="13">
        <f>F56</f>
        <v>10314.47561207424</v>
      </c>
      <c r="G57" s="1">
        <v>0</v>
      </c>
      <c r="H57" s="1">
        <v>0</v>
      </c>
    </row>
    <row r="58" spans="1:8" x14ac:dyDescent="0.2">
      <c r="C58" s="14"/>
      <c r="D58" s="14"/>
    </row>
    <row r="59" spans="1:8" x14ac:dyDescent="0.2">
      <c r="C59" s="14"/>
      <c r="D59" s="14"/>
    </row>
  </sheetData>
  <mergeCells count="1">
    <mergeCell ref="A13:H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03E6D-72CA-416E-862B-96AEAC313ACD}">
  <dimension ref="A1:AZ59"/>
  <sheetViews>
    <sheetView workbookViewId="0">
      <selection activeCell="J25" sqref="J25"/>
    </sheetView>
  </sheetViews>
  <sheetFormatPr defaultColWidth="13.7109375" defaultRowHeight="12.75" x14ac:dyDescent="0.2"/>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x14ac:dyDescent="0.2">
      <c r="AZ1" s="2">
        <v>1</v>
      </c>
    </row>
    <row r="13" spans="1:52" ht="33" customHeight="1" thickBot="1" x14ac:dyDescent="0.25">
      <c r="A13" s="218" t="s">
        <v>4</v>
      </c>
      <c r="B13" s="218"/>
      <c r="C13" s="218"/>
      <c r="D13" s="218"/>
      <c r="E13" s="218"/>
      <c r="F13" s="218"/>
      <c r="G13" s="218"/>
      <c r="H13" s="218"/>
      <c r="I13" s="3"/>
      <c r="J13" s="3"/>
      <c r="K13" s="3"/>
      <c r="L13" s="3"/>
    </row>
    <row r="14" spans="1:52" ht="18.75" thickBot="1" x14ac:dyDescent="0.3">
      <c r="A14" s="4" t="s">
        <v>5</v>
      </c>
      <c r="B14" s="5">
        <v>0.17</v>
      </c>
    </row>
    <row r="15" spans="1:52" ht="45" x14ac:dyDescent="0.25">
      <c r="A15" s="6" t="s">
        <v>6</v>
      </c>
      <c r="B15" s="6" t="s">
        <v>7</v>
      </c>
      <c r="C15" s="7" t="s">
        <v>8</v>
      </c>
      <c r="D15" s="8" t="s">
        <v>9</v>
      </c>
      <c r="E15" s="9" t="s">
        <v>10</v>
      </c>
      <c r="F15" s="9" t="s">
        <v>11</v>
      </c>
      <c r="G15" s="10" t="s">
        <v>12</v>
      </c>
      <c r="H15" s="11" t="s">
        <v>13</v>
      </c>
      <c r="I15" s="11"/>
    </row>
    <row r="16" spans="1:52" x14ac:dyDescent="0.2">
      <c r="D16" s="12"/>
      <c r="E16" s="13"/>
      <c r="F16" s="13"/>
      <c r="G16" s="12"/>
    </row>
    <row r="17" spans="1:8" x14ac:dyDescent="0.2">
      <c r="A17" s="1" t="s">
        <v>14</v>
      </c>
      <c r="B17" s="1" t="s">
        <v>15</v>
      </c>
      <c r="C17" s="14" t="s">
        <v>16</v>
      </c>
      <c r="D17" s="15">
        <v>1.17E-2</v>
      </c>
      <c r="E17" s="16">
        <v>1522610583.0398455</v>
      </c>
      <c r="F17" s="16">
        <v>0</v>
      </c>
      <c r="G17" s="17">
        <v>1.0415000000000001</v>
      </c>
      <c r="H17" s="13">
        <f>E17*G17</f>
        <v>1585798922.2359991</v>
      </c>
    </row>
    <row r="18" spans="1:8" x14ac:dyDescent="0.2">
      <c r="A18" s="1" t="s">
        <v>14</v>
      </c>
      <c r="B18" s="1" t="s">
        <v>17</v>
      </c>
      <c r="C18" s="14" t="s">
        <v>16</v>
      </c>
      <c r="D18" s="15">
        <v>8.0000000000000002E-3</v>
      </c>
      <c r="E18" s="16">
        <f>E17</f>
        <v>1522610583.0398455</v>
      </c>
      <c r="F18" s="16">
        <v>0</v>
      </c>
      <c r="G18" s="17">
        <f>G17</f>
        <v>1.0415000000000001</v>
      </c>
      <c r="H18" s="13">
        <f t="shared" ref="H18:H22" si="0">E18*G18</f>
        <v>1585798922.2359991</v>
      </c>
    </row>
    <row r="19" spans="1:8" x14ac:dyDescent="0.2">
      <c r="A19" s="1" t="s">
        <v>18</v>
      </c>
      <c r="B19" s="1" t="s">
        <v>15</v>
      </c>
      <c r="C19" s="14" t="s">
        <v>16</v>
      </c>
      <c r="D19" s="15">
        <v>1.2200000000000001E-2</v>
      </c>
      <c r="E19" s="16">
        <v>13563322.057561571</v>
      </c>
      <c r="F19" s="16">
        <v>0</v>
      </c>
      <c r="G19" s="17">
        <v>1.0415000000000001</v>
      </c>
      <c r="H19" s="13">
        <f t="shared" si="0"/>
        <v>14126199.922950378</v>
      </c>
    </row>
    <row r="20" spans="1:8" x14ac:dyDescent="0.2">
      <c r="A20" s="1" t="s">
        <v>18</v>
      </c>
      <c r="B20" s="1" t="s">
        <v>17</v>
      </c>
      <c r="C20" s="14" t="s">
        <v>16</v>
      </c>
      <c r="D20" s="15">
        <v>1.03E-2</v>
      </c>
      <c r="E20" s="16">
        <f>E19</f>
        <v>13563322.057561571</v>
      </c>
      <c r="F20" s="16">
        <v>0</v>
      </c>
      <c r="G20" s="17">
        <f>G19</f>
        <v>1.0415000000000001</v>
      </c>
      <c r="H20" s="13">
        <f t="shared" si="0"/>
        <v>14126199.922950378</v>
      </c>
    </row>
    <row r="21" spans="1:8" x14ac:dyDescent="0.2">
      <c r="A21" s="1" t="s">
        <v>19</v>
      </c>
      <c r="B21" s="1" t="s">
        <v>15</v>
      </c>
      <c r="C21" s="14" t="s">
        <v>16</v>
      </c>
      <c r="D21" s="15">
        <v>1.0699999999999999E-2</v>
      </c>
      <c r="E21" s="16">
        <v>354832019.47313988</v>
      </c>
      <c r="F21" s="16">
        <v>0</v>
      </c>
      <c r="G21" s="17">
        <v>1.0415000000000001</v>
      </c>
      <c r="H21" s="13">
        <f t="shared" si="0"/>
        <v>369557548.28127521</v>
      </c>
    </row>
    <row r="22" spans="1:8" x14ac:dyDescent="0.2">
      <c r="A22" s="1" t="s">
        <v>19</v>
      </c>
      <c r="B22" s="1" t="s">
        <v>17</v>
      </c>
      <c r="C22" s="14" t="s">
        <v>16</v>
      </c>
      <c r="D22" s="15">
        <v>7.4999999999999997E-3</v>
      </c>
      <c r="E22" s="16">
        <f>E21</f>
        <v>354832019.47313988</v>
      </c>
      <c r="F22" s="16">
        <v>0</v>
      </c>
      <c r="G22" s="17">
        <f>G21</f>
        <v>1.0415000000000001</v>
      </c>
      <c r="H22" s="13">
        <f t="shared" si="0"/>
        <v>369557548.28127521</v>
      </c>
    </row>
    <row r="23" spans="1:8" x14ac:dyDescent="0.2">
      <c r="A23" s="1" t="s">
        <v>20</v>
      </c>
      <c r="B23" s="1" t="s">
        <v>15</v>
      </c>
      <c r="C23" s="14" t="s">
        <v>21</v>
      </c>
      <c r="D23" s="15">
        <v>5.2130999999999998</v>
      </c>
      <c r="E23" s="18">
        <v>1338336814.7281387</v>
      </c>
      <c r="F23" s="19">
        <v>3247733.9038704741</v>
      </c>
      <c r="G23" s="12"/>
    </row>
    <row r="24" spans="1:8" x14ac:dyDescent="0.2">
      <c r="A24" s="1" t="s">
        <v>20</v>
      </c>
      <c r="B24" s="1" t="s">
        <v>17</v>
      </c>
      <c r="C24" s="14" t="s">
        <v>21</v>
      </c>
      <c r="D24" s="15">
        <v>3.4744999999999999</v>
      </c>
      <c r="E24" s="20">
        <f>E23</f>
        <v>1338336814.7281387</v>
      </c>
      <c r="F24" s="21">
        <f>F23</f>
        <v>3247733.9038704741</v>
      </c>
      <c r="G24" s="12"/>
    </row>
    <row r="25" spans="1:8" x14ac:dyDescent="0.2">
      <c r="A25" s="1" t="s">
        <v>20</v>
      </c>
      <c r="B25" s="1" t="s">
        <v>22</v>
      </c>
      <c r="C25" s="14" t="s">
        <v>21</v>
      </c>
      <c r="D25" s="15">
        <f>D23*$B$14</f>
        <v>0.88622699999999999</v>
      </c>
      <c r="E25" s="18">
        <v>420130.47285385779</v>
      </c>
      <c r="F25" s="19">
        <v>46671.433858583914</v>
      </c>
      <c r="G25" s="12"/>
    </row>
    <row r="26" spans="1:8" x14ac:dyDescent="0.2">
      <c r="A26" s="1" t="s">
        <v>20</v>
      </c>
      <c r="B26" s="1" t="s">
        <v>23</v>
      </c>
      <c r="C26" s="14" t="s">
        <v>21</v>
      </c>
      <c r="D26" s="15">
        <f>D24*$B$14</f>
        <v>0.590665</v>
      </c>
      <c r="E26" s="18">
        <f>E25</f>
        <v>420130.47285385779</v>
      </c>
      <c r="F26" s="19">
        <f>F25</f>
        <v>46671.433858583914</v>
      </c>
      <c r="G26" s="12"/>
    </row>
    <row r="27" spans="1:8" x14ac:dyDescent="0.2">
      <c r="A27" s="1" t="s">
        <v>24</v>
      </c>
      <c r="B27" s="1" t="s">
        <v>15</v>
      </c>
      <c r="C27" s="14" t="s">
        <v>21</v>
      </c>
      <c r="D27" s="15">
        <v>5.7435</v>
      </c>
      <c r="E27" s="18">
        <v>309345387.30126476</v>
      </c>
      <c r="F27" s="19">
        <v>665751.74791153881</v>
      </c>
      <c r="G27" s="12"/>
    </row>
    <row r="28" spans="1:8" x14ac:dyDescent="0.2">
      <c r="A28" s="1" t="s">
        <v>24</v>
      </c>
      <c r="B28" s="1" t="s">
        <v>25</v>
      </c>
      <c r="C28" s="14" t="s">
        <v>21</v>
      </c>
      <c r="D28" s="15">
        <v>3.8157999999999999</v>
      </c>
      <c r="E28" s="20">
        <f>E27</f>
        <v>309345387.30126476</v>
      </c>
      <c r="F28" s="21">
        <f>F27</f>
        <v>665751.74791153881</v>
      </c>
      <c r="G28" s="12"/>
    </row>
    <row r="29" spans="1:8" x14ac:dyDescent="0.2">
      <c r="A29" s="1" t="s">
        <v>24</v>
      </c>
      <c r="B29" s="1" t="s">
        <v>22</v>
      </c>
      <c r="C29" s="14" t="s">
        <v>21</v>
      </c>
      <c r="D29" s="15">
        <f>D27*$B$14</f>
        <v>0.97639500000000012</v>
      </c>
      <c r="E29" s="22">
        <v>0</v>
      </c>
      <c r="F29" s="23">
        <v>0</v>
      </c>
      <c r="G29" s="12"/>
    </row>
    <row r="30" spans="1:8" x14ac:dyDescent="0.2">
      <c r="A30" s="1" t="s">
        <v>24</v>
      </c>
      <c r="B30" s="1" t="s">
        <v>26</v>
      </c>
      <c r="C30" s="14" t="s">
        <v>21</v>
      </c>
      <c r="D30" s="15">
        <f>D28*$B$14</f>
        <v>0.64868599999999998</v>
      </c>
      <c r="E30" s="20">
        <f>E29</f>
        <v>0</v>
      </c>
      <c r="F30" s="21">
        <v>0</v>
      </c>
      <c r="G30" s="12"/>
    </row>
    <row r="31" spans="1:8" x14ac:dyDescent="0.2">
      <c r="A31" s="1" t="s">
        <v>27</v>
      </c>
      <c r="B31" s="1" t="s">
        <v>15</v>
      </c>
      <c r="C31" s="14" t="s">
        <v>21</v>
      </c>
      <c r="D31" s="15">
        <v>5.7435</v>
      </c>
      <c r="E31" s="16">
        <v>520133438.36502188</v>
      </c>
      <c r="F31" s="16">
        <v>895387.42439179809</v>
      </c>
      <c r="G31" s="12"/>
    </row>
    <row r="32" spans="1:8" x14ac:dyDescent="0.2">
      <c r="A32" s="1" t="s">
        <v>27</v>
      </c>
      <c r="B32" s="1" t="s">
        <v>25</v>
      </c>
      <c r="C32" s="14" t="s">
        <v>21</v>
      </c>
      <c r="D32" s="15">
        <v>3.8157999999999999</v>
      </c>
      <c r="E32" s="16">
        <f>E31</f>
        <v>520133438.36502188</v>
      </c>
      <c r="F32" s="16">
        <f>F31</f>
        <v>895387.42439179809</v>
      </c>
      <c r="G32" s="12"/>
    </row>
    <row r="33" spans="1:8" x14ac:dyDescent="0.2">
      <c r="A33" s="1" t="s">
        <v>28</v>
      </c>
      <c r="B33" s="1" t="s">
        <v>15</v>
      </c>
      <c r="C33" s="14" t="s">
        <v>16</v>
      </c>
      <c r="D33" s="15">
        <v>1.0699999999999999E-2</v>
      </c>
      <c r="E33" s="16">
        <v>6450483.6168868821</v>
      </c>
      <c r="F33" s="16">
        <v>0</v>
      </c>
      <c r="G33" s="17">
        <v>1.0415000000000001</v>
      </c>
      <c r="H33" s="13">
        <f t="shared" ref="H33:H34" si="1">E33*G33</f>
        <v>6718178.6869876888</v>
      </c>
    </row>
    <row r="34" spans="1:8" x14ac:dyDescent="0.2">
      <c r="A34" s="1" t="s">
        <v>28</v>
      </c>
      <c r="B34" s="1" t="s">
        <v>17</v>
      </c>
      <c r="C34" s="14" t="s">
        <v>16</v>
      </c>
      <c r="D34" s="15">
        <v>7.4999999999999997E-3</v>
      </c>
      <c r="E34" s="16">
        <f>E33</f>
        <v>6450483.6168868821</v>
      </c>
      <c r="F34" s="16">
        <v>0</v>
      </c>
      <c r="G34" s="17">
        <f>G33</f>
        <v>1.0415000000000001</v>
      </c>
      <c r="H34" s="13">
        <f t="shared" si="1"/>
        <v>6718178.6869876888</v>
      </c>
    </row>
    <row r="35" spans="1:8" x14ac:dyDescent="0.2">
      <c r="A35" s="1" t="s">
        <v>29</v>
      </c>
      <c r="B35" s="1" t="s">
        <v>15</v>
      </c>
      <c r="C35" s="14" t="s">
        <v>21</v>
      </c>
      <c r="D35" s="15">
        <v>3.2515999999999998</v>
      </c>
      <c r="E35" s="16">
        <v>85958.850155680775</v>
      </c>
      <c r="F35" s="16">
        <v>644.51221350638025</v>
      </c>
      <c r="G35" s="12"/>
    </row>
    <row r="36" spans="1:8" x14ac:dyDescent="0.2">
      <c r="A36" s="1" t="s">
        <v>29</v>
      </c>
      <c r="B36" s="1" t="s">
        <v>17</v>
      </c>
      <c r="C36" s="14" t="s">
        <v>21</v>
      </c>
      <c r="D36" s="15">
        <v>2.1844000000000001</v>
      </c>
      <c r="E36" s="16">
        <f>E35</f>
        <v>85958.850155680775</v>
      </c>
      <c r="F36" s="16">
        <f>F35</f>
        <v>644.51221350638025</v>
      </c>
      <c r="G36" s="12"/>
    </row>
    <row r="37" spans="1:8" x14ac:dyDescent="0.2">
      <c r="A37" s="1" t="s">
        <v>30</v>
      </c>
      <c r="B37" s="1" t="s">
        <v>15</v>
      </c>
      <c r="C37" s="14" t="s">
        <v>21</v>
      </c>
      <c r="D37" s="15">
        <v>3.4237000000000002</v>
      </c>
      <c r="E37" s="16">
        <v>15821266.352647971</v>
      </c>
      <c r="F37" s="16">
        <v>44090.904046101437</v>
      </c>
      <c r="G37" s="12"/>
    </row>
    <row r="38" spans="1:8" x14ac:dyDescent="0.2">
      <c r="A38" s="1" t="s">
        <v>30</v>
      </c>
      <c r="B38" s="1" t="s">
        <v>17</v>
      </c>
      <c r="C38" s="14" t="s">
        <v>21</v>
      </c>
      <c r="D38" s="15">
        <v>2.2826</v>
      </c>
      <c r="E38" s="16">
        <f>E37</f>
        <v>15821266.352647971</v>
      </c>
      <c r="F38" s="16">
        <f>F37</f>
        <v>44090.904046101437</v>
      </c>
      <c r="G38" s="12"/>
    </row>
    <row r="39" spans="1:8" x14ac:dyDescent="0.2">
      <c r="C39" s="14"/>
      <c r="D39" s="15"/>
      <c r="E39" s="16"/>
      <c r="F39" s="16"/>
      <c r="G39" s="12"/>
    </row>
    <row r="40" spans="1:8" x14ac:dyDescent="0.2">
      <c r="E40" s="13"/>
      <c r="G40" s="12"/>
      <c r="H40" s="13"/>
    </row>
    <row r="41" spans="1:8" x14ac:dyDescent="0.2">
      <c r="E41" s="118"/>
      <c r="G41" s="12"/>
      <c r="H41" s="13"/>
    </row>
    <row r="42" spans="1:8" x14ac:dyDescent="0.2">
      <c r="E42" s="118"/>
      <c r="G42" s="12"/>
      <c r="H42" s="13"/>
    </row>
    <row r="43" spans="1:8" x14ac:dyDescent="0.2">
      <c r="E43" s="118"/>
      <c r="G43" s="12"/>
      <c r="H43" s="13"/>
    </row>
    <row r="44" spans="1:8" x14ac:dyDescent="0.2">
      <c r="E44" s="118"/>
      <c r="F44" s="13"/>
    </row>
    <row r="45" spans="1:8" x14ac:dyDescent="0.2">
      <c r="E45" s="118"/>
      <c r="F45" s="13"/>
    </row>
    <row r="46" spans="1:8" x14ac:dyDescent="0.2">
      <c r="E46" s="118"/>
    </row>
    <row r="47" spans="1:8" x14ac:dyDescent="0.2">
      <c r="E47" s="118"/>
    </row>
    <row r="48" spans="1:8" x14ac:dyDescent="0.2">
      <c r="E48" s="118"/>
      <c r="F48" s="13"/>
    </row>
    <row r="49" spans="3:8" x14ac:dyDescent="0.2">
      <c r="E49" s="118"/>
      <c r="F49" s="13"/>
    </row>
    <row r="50" spans="3:8" x14ac:dyDescent="0.2">
      <c r="E50" s="118"/>
    </row>
    <row r="51" spans="3:8" x14ac:dyDescent="0.2">
      <c r="E51" s="118"/>
    </row>
    <row r="52" spans="3:8" x14ac:dyDescent="0.2">
      <c r="E52" s="118"/>
      <c r="G52" s="12"/>
      <c r="H52" s="13"/>
    </row>
    <row r="53" spans="3:8" x14ac:dyDescent="0.2">
      <c r="E53" s="118"/>
      <c r="G53" s="12"/>
      <c r="H53" s="13"/>
    </row>
    <row r="54" spans="3:8" x14ac:dyDescent="0.2">
      <c r="E54" s="118"/>
      <c r="F54" s="13"/>
    </row>
    <row r="55" spans="3:8" x14ac:dyDescent="0.2">
      <c r="E55" s="118"/>
      <c r="F55" s="13"/>
    </row>
    <row r="56" spans="3:8" x14ac:dyDescent="0.2">
      <c r="E56" s="118"/>
      <c r="F56" s="13"/>
    </row>
    <row r="57" spans="3:8" x14ac:dyDescent="0.2">
      <c r="E57" s="118"/>
      <c r="F57" s="13"/>
    </row>
    <row r="58" spans="3:8" x14ac:dyDescent="0.2">
      <c r="C58" s="14"/>
      <c r="D58" s="14"/>
    </row>
    <row r="59" spans="3:8" x14ac:dyDescent="0.2">
      <c r="C59" s="14"/>
      <c r="D59" s="14"/>
    </row>
  </sheetData>
  <mergeCells count="1">
    <mergeCell ref="A13:H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63375-8AB5-48B7-99F2-0ED4A404BB87}">
  <dimension ref="A1:AZ59"/>
  <sheetViews>
    <sheetView workbookViewId="0">
      <selection activeCell="J26" sqref="J26"/>
    </sheetView>
  </sheetViews>
  <sheetFormatPr defaultColWidth="13.7109375" defaultRowHeight="12.75" x14ac:dyDescent="0.2"/>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x14ac:dyDescent="0.2">
      <c r="AZ1" s="2">
        <v>1</v>
      </c>
    </row>
    <row r="13" spans="1:52" ht="33" customHeight="1" thickBot="1" x14ac:dyDescent="0.25">
      <c r="A13" s="218" t="s">
        <v>4</v>
      </c>
      <c r="B13" s="218"/>
      <c r="C13" s="218"/>
      <c r="D13" s="218"/>
      <c r="E13" s="218"/>
      <c r="F13" s="218"/>
      <c r="G13" s="218"/>
      <c r="H13" s="218"/>
      <c r="I13" s="3"/>
      <c r="J13" s="3"/>
      <c r="K13" s="3"/>
      <c r="L13" s="3"/>
    </row>
    <row r="14" spans="1:52" ht="18.75" thickBot="1" x14ac:dyDescent="0.3">
      <c r="A14" s="4" t="s">
        <v>5</v>
      </c>
      <c r="B14" s="5">
        <v>0.17</v>
      </c>
    </row>
    <row r="15" spans="1:52" ht="45" x14ac:dyDescent="0.25">
      <c r="A15" s="6" t="s">
        <v>6</v>
      </c>
      <c r="B15" s="6" t="s">
        <v>7</v>
      </c>
      <c r="C15" s="7" t="s">
        <v>8</v>
      </c>
      <c r="D15" s="8" t="s">
        <v>9</v>
      </c>
      <c r="E15" s="9" t="s">
        <v>10</v>
      </c>
      <c r="F15" s="9" t="s">
        <v>11</v>
      </c>
      <c r="G15" s="10" t="s">
        <v>12</v>
      </c>
      <c r="H15" s="11" t="s">
        <v>13</v>
      </c>
      <c r="I15" s="11"/>
    </row>
    <row r="16" spans="1:52" x14ac:dyDescent="0.2">
      <c r="D16" s="12"/>
      <c r="E16" s="13"/>
      <c r="F16" s="13"/>
      <c r="G16" s="12"/>
    </row>
    <row r="17" spans="1:8" x14ac:dyDescent="0.2">
      <c r="A17" s="1" t="s">
        <v>14</v>
      </c>
      <c r="B17" s="1" t="s">
        <v>15</v>
      </c>
      <c r="C17" s="14" t="s">
        <v>16</v>
      </c>
      <c r="D17" s="15">
        <v>1.17E-2</v>
      </c>
      <c r="E17" s="16">
        <v>1545953167.9286928</v>
      </c>
      <c r="F17" s="16">
        <v>0</v>
      </c>
      <c r="G17" s="17">
        <v>1.0415000000000001</v>
      </c>
      <c r="H17" s="13">
        <f>E17*G17</f>
        <v>1610110224.3977337</v>
      </c>
    </row>
    <row r="18" spans="1:8" x14ac:dyDescent="0.2">
      <c r="A18" s="1" t="s">
        <v>14</v>
      </c>
      <c r="B18" s="1" t="s">
        <v>17</v>
      </c>
      <c r="C18" s="14" t="s">
        <v>16</v>
      </c>
      <c r="D18" s="15">
        <v>8.0000000000000002E-3</v>
      </c>
      <c r="E18" s="16">
        <f>E17</f>
        <v>1545953167.9286928</v>
      </c>
      <c r="F18" s="16">
        <v>0</v>
      </c>
      <c r="G18" s="17">
        <f>G17</f>
        <v>1.0415000000000001</v>
      </c>
      <c r="H18" s="13">
        <f t="shared" ref="H18:H22" si="0">E18*G18</f>
        <v>1610110224.3977337</v>
      </c>
    </row>
    <row r="19" spans="1:8" x14ac:dyDescent="0.2">
      <c r="A19" s="1" t="s">
        <v>18</v>
      </c>
      <c r="B19" s="1" t="s">
        <v>15</v>
      </c>
      <c r="C19" s="14" t="s">
        <v>16</v>
      </c>
      <c r="D19" s="15">
        <v>1.2200000000000001E-2</v>
      </c>
      <c r="E19" s="16">
        <v>13936133.75580476</v>
      </c>
      <c r="F19" s="16">
        <v>0</v>
      </c>
      <c r="G19" s="17">
        <v>1.0415000000000001</v>
      </c>
      <c r="H19" s="13">
        <f t="shared" si="0"/>
        <v>14514483.30667066</v>
      </c>
    </row>
    <row r="20" spans="1:8" x14ac:dyDescent="0.2">
      <c r="A20" s="1" t="s">
        <v>18</v>
      </c>
      <c r="B20" s="1" t="s">
        <v>17</v>
      </c>
      <c r="C20" s="14" t="s">
        <v>16</v>
      </c>
      <c r="D20" s="15">
        <v>1.03E-2</v>
      </c>
      <c r="E20" s="16">
        <f>E19</f>
        <v>13936133.75580476</v>
      </c>
      <c r="F20" s="16">
        <v>0</v>
      </c>
      <c r="G20" s="17">
        <f>G19</f>
        <v>1.0415000000000001</v>
      </c>
      <c r="H20" s="13">
        <f t="shared" si="0"/>
        <v>14514483.30667066</v>
      </c>
    </row>
    <row r="21" spans="1:8" x14ac:dyDescent="0.2">
      <c r="A21" s="1" t="s">
        <v>19</v>
      </c>
      <c r="B21" s="1" t="s">
        <v>15</v>
      </c>
      <c r="C21" s="14" t="s">
        <v>16</v>
      </c>
      <c r="D21" s="15">
        <v>1.0699999999999999E-2</v>
      </c>
      <c r="E21" s="16">
        <v>354086627.25998735</v>
      </c>
      <c r="F21" s="16">
        <v>0</v>
      </c>
      <c r="G21" s="17">
        <v>1.0415000000000001</v>
      </c>
      <c r="H21" s="13">
        <f t="shared" si="0"/>
        <v>368781222.29127687</v>
      </c>
    </row>
    <row r="22" spans="1:8" x14ac:dyDescent="0.2">
      <c r="A22" s="1" t="s">
        <v>19</v>
      </c>
      <c r="B22" s="1" t="s">
        <v>17</v>
      </c>
      <c r="C22" s="14" t="s">
        <v>16</v>
      </c>
      <c r="D22" s="15">
        <v>7.4999999999999997E-3</v>
      </c>
      <c r="E22" s="16">
        <f>E21</f>
        <v>354086627.25998735</v>
      </c>
      <c r="F22" s="16">
        <v>0</v>
      </c>
      <c r="G22" s="17">
        <f>G21</f>
        <v>1.0415000000000001</v>
      </c>
      <c r="H22" s="13">
        <f t="shared" si="0"/>
        <v>368781222.29127687</v>
      </c>
    </row>
    <row r="23" spans="1:8" x14ac:dyDescent="0.2">
      <c r="A23" s="1" t="s">
        <v>20</v>
      </c>
      <c r="B23" s="1" t="s">
        <v>15</v>
      </c>
      <c r="C23" s="14" t="s">
        <v>21</v>
      </c>
      <c r="D23" s="15">
        <v>5.2130999999999998</v>
      </c>
      <c r="E23" s="18">
        <v>1344108846.2632668</v>
      </c>
      <c r="F23" s="19">
        <v>3295840.1808685539</v>
      </c>
      <c r="G23" s="12"/>
    </row>
    <row r="24" spans="1:8" x14ac:dyDescent="0.2">
      <c r="A24" s="1" t="s">
        <v>20</v>
      </c>
      <c r="B24" s="1" t="s">
        <v>17</v>
      </c>
      <c r="C24" s="14" t="s">
        <v>21</v>
      </c>
      <c r="D24" s="15">
        <v>3.4744999999999999</v>
      </c>
      <c r="E24" s="20">
        <f>E23</f>
        <v>1344108846.2632668</v>
      </c>
      <c r="F24" s="21">
        <f>F23</f>
        <v>3295840.1808685539</v>
      </c>
      <c r="G24" s="12"/>
    </row>
    <row r="25" spans="1:8" x14ac:dyDescent="0.2">
      <c r="A25" s="1" t="s">
        <v>20</v>
      </c>
      <c r="B25" s="1" t="s">
        <v>22</v>
      </c>
      <c r="C25" s="14" t="s">
        <v>21</v>
      </c>
      <c r="D25" s="15">
        <f>D23*$B$14</f>
        <v>0.88622699999999999</v>
      </c>
      <c r="E25" s="18">
        <v>818307.0534304902</v>
      </c>
      <c r="F25" s="19">
        <v>30280.040989757119</v>
      </c>
      <c r="G25" s="12"/>
    </row>
    <row r="26" spans="1:8" x14ac:dyDescent="0.2">
      <c r="A26" s="1" t="s">
        <v>20</v>
      </c>
      <c r="B26" s="1" t="s">
        <v>23</v>
      </c>
      <c r="C26" s="14" t="s">
        <v>21</v>
      </c>
      <c r="D26" s="15">
        <f>D24*$B$14</f>
        <v>0.590665</v>
      </c>
      <c r="E26" s="18">
        <f>E25</f>
        <v>818307.0534304902</v>
      </c>
      <c r="F26" s="19">
        <f>F25</f>
        <v>30280.040989757119</v>
      </c>
      <c r="G26" s="12"/>
    </row>
    <row r="27" spans="1:8" x14ac:dyDescent="0.2">
      <c r="A27" s="1" t="s">
        <v>24</v>
      </c>
      <c r="B27" s="1" t="s">
        <v>15</v>
      </c>
      <c r="C27" s="14" t="s">
        <v>21</v>
      </c>
      <c r="D27" s="15">
        <v>5.7435</v>
      </c>
      <c r="E27" s="18">
        <v>330219201.78476775</v>
      </c>
      <c r="F27" s="19">
        <v>714879.82735508983</v>
      </c>
      <c r="G27" s="12"/>
    </row>
    <row r="28" spans="1:8" x14ac:dyDescent="0.2">
      <c r="A28" s="1" t="s">
        <v>24</v>
      </c>
      <c r="B28" s="1" t="s">
        <v>25</v>
      </c>
      <c r="C28" s="14" t="s">
        <v>21</v>
      </c>
      <c r="D28" s="15">
        <v>3.8157999999999999</v>
      </c>
      <c r="E28" s="20">
        <f>E27</f>
        <v>330219201.78476775</v>
      </c>
      <c r="F28" s="21">
        <f>F27</f>
        <v>714879.82735508983</v>
      </c>
      <c r="G28" s="12"/>
    </row>
    <row r="29" spans="1:8" x14ac:dyDescent="0.2">
      <c r="A29" s="1" t="s">
        <v>24</v>
      </c>
      <c r="B29" s="1" t="s">
        <v>22</v>
      </c>
      <c r="C29" s="14" t="s">
        <v>21</v>
      </c>
      <c r="D29" s="15">
        <f>D27*$B$14</f>
        <v>0.97639500000000012</v>
      </c>
      <c r="E29" s="22">
        <v>0</v>
      </c>
      <c r="F29" s="23">
        <v>0</v>
      </c>
      <c r="G29" s="12"/>
    </row>
    <row r="30" spans="1:8" x14ac:dyDescent="0.2">
      <c r="A30" s="1" t="s">
        <v>24</v>
      </c>
      <c r="B30" s="1" t="s">
        <v>26</v>
      </c>
      <c r="C30" s="14" t="s">
        <v>21</v>
      </c>
      <c r="D30" s="15">
        <f>D28*$B$14</f>
        <v>0.64868599999999998</v>
      </c>
      <c r="E30" s="20">
        <f>E29</f>
        <v>0</v>
      </c>
      <c r="F30" s="21">
        <v>0</v>
      </c>
      <c r="G30" s="12"/>
    </row>
    <row r="31" spans="1:8" x14ac:dyDescent="0.2">
      <c r="A31" s="1" t="s">
        <v>27</v>
      </c>
      <c r="B31" s="1" t="s">
        <v>15</v>
      </c>
      <c r="C31" s="14" t="s">
        <v>21</v>
      </c>
      <c r="D31" s="15">
        <v>5.7435</v>
      </c>
      <c r="E31" s="16">
        <v>601393840.1659646</v>
      </c>
      <c r="F31" s="16">
        <v>1042834.3281894677</v>
      </c>
      <c r="G31" s="12"/>
    </row>
    <row r="32" spans="1:8" x14ac:dyDescent="0.2">
      <c r="A32" s="1" t="s">
        <v>27</v>
      </c>
      <c r="B32" s="1" t="s">
        <v>25</v>
      </c>
      <c r="C32" s="14" t="s">
        <v>21</v>
      </c>
      <c r="D32" s="15">
        <v>3.8157999999999999</v>
      </c>
      <c r="E32" s="16">
        <f>E31</f>
        <v>601393840.1659646</v>
      </c>
      <c r="F32" s="16">
        <f>F31</f>
        <v>1042834.3281894677</v>
      </c>
      <c r="G32" s="12"/>
    </row>
    <row r="33" spans="1:8" x14ac:dyDescent="0.2">
      <c r="A33" s="1" t="s">
        <v>28</v>
      </c>
      <c r="B33" s="1" t="s">
        <v>15</v>
      </c>
      <c r="C33" s="14" t="s">
        <v>16</v>
      </c>
      <c r="D33" s="15">
        <v>1.0699999999999999E-2</v>
      </c>
      <c r="E33" s="16">
        <v>6421580.5485769762</v>
      </c>
      <c r="F33" s="16">
        <v>0</v>
      </c>
      <c r="G33" s="17">
        <v>1.0415000000000001</v>
      </c>
      <c r="H33" s="13">
        <f t="shared" ref="H33:H34" si="1">E33*G33</f>
        <v>6688076.1413429212</v>
      </c>
    </row>
    <row r="34" spans="1:8" x14ac:dyDescent="0.2">
      <c r="A34" s="1" t="s">
        <v>28</v>
      </c>
      <c r="B34" s="1" t="s">
        <v>17</v>
      </c>
      <c r="C34" s="14" t="s">
        <v>16</v>
      </c>
      <c r="D34" s="15">
        <v>7.4999999999999997E-3</v>
      </c>
      <c r="E34" s="16">
        <f>E33</f>
        <v>6421580.5485769762</v>
      </c>
      <c r="F34" s="16">
        <v>0</v>
      </c>
      <c r="G34" s="17">
        <f>G33</f>
        <v>1.0415000000000001</v>
      </c>
      <c r="H34" s="13">
        <f t="shared" si="1"/>
        <v>6688076.1413429212</v>
      </c>
    </row>
    <row r="35" spans="1:8" x14ac:dyDescent="0.2">
      <c r="A35" s="1" t="s">
        <v>29</v>
      </c>
      <c r="B35" s="1" t="s">
        <v>15</v>
      </c>
      <c r="C35" s="14" t="s">
        <v>21</v>
      </c>
      <c r="D35" s="15">
        <v>3.2515999999999998</v>
      </c>
      <c r="E35" s="16">
        <v>84492.385084329959</v>
      </c>
      <c r="F35" s="16">
        <v>634.86173214226346</v>
      </c>
      <c r="G35" s="12"/>
    </row>
    <row r="36" spans="1:8" x14ac:dyDescent="0.2">
      <c r="A36" s="1" t="s">
        <v>29</v>
      </c>
      <c r="B36" s="1" t="s">
        <v>17</v>
      </c>
      <c r="C36" s="14" t="s">
        <v>21</v>
      </c>
      <c r="D36" s="15">
        <v>2.1844000000000001</v>
      </c>
      <c r="E36" s="16">
        <f>E35</f>
        <v>84492.385084329959</v>
      </c>
      <c r="F36" s="16">
        <f>F35</f>
        <v>634.86173214226346</v>
      </c>
      <c r="G36" s="12"/>
    </row>
    <row r="37" spans="1:8" x14ac:dyDescent="0.2">
      <c r="A37" s="1" t="s">
        <v>30</v>
      </c>
      <c r="B37" s="1" t="s">
        <v>15</v>
      </c>
      <c r="C37" s="14" t="s">
        <v>21</v>
      </c>
      <c r="D37" s="15">
        <v>3.4237000000000002</v>
      </c>
      <c r="E37" s="16">
        <v>16020064.529794496</v>
      </c>
      <c r="F37" s="16">
        <v>44644.724030707992</v>
      </c>
      <c r="G37" s="12"/>
    </row>
    <row r="38" spans="1:8" x14ac:dyDescent="0.2">
      <c r="A38" s="1" t="s">
        <v>30</v>
      </c>
      <c r="B38" s="1" t="s">
        <v>17</v>
      </c>
      <c r="C38" s="14" t="s">
        <v>21</v>
      </c>
      <c r="D38" s="15">
        <v>2.2826</v>
      </c>
      <c r="E38" s="16">
        <f>E37</f>
        <v>16020064.529794496</v>
      </c>
      <c r="F38" s="16">
        <f>F37</f>
        <v>44644.724030707992</v>
      </c>
      <c r="G38" s="12"/>
    </row>
    <row r="39" spans="1:8" x14ac:dyDescent="0.2">
      <c r="C39" s="14"/>
      <c r="D39" s="15"/>
      <c r="E39" s="16"/>
      <c r="F39" s="16"/>
      <c r="G39" s="12"/>
    </row>
    <row r="40" spans="1:8" x14ac:dyDescent="0.2">
      <c r="E40" s="13"/>
      <c r="G40" s="12"/>
      <c r="H40" s="13"/>
    </row>
    <row r="41" spans="1:8" x14ac:dyDescent="0.2">
      <c r="E41" s="118"/>
      <c r="G41" s="12"/>
      <c r="H41" s="13"/>
    </row>
    <row r="42" spans="1:8" x14ac:dyDescent="0.2">
      <c r="E42" s="118"/>
      <c r="G42" s="12"/>
      <c r="H42" s="13"/>
    </row>
    <row r="43" spans="1:8" x14ac:dyDescent="0.2">
      <c r="E43" s="118"/>
      <c r="G43" s="12"/>
      <c r="H43" s="13"/>
    </row>
    <row r="44" spans="1:8" x14ac:dyDescent="0.2">
      <c r="E44" s="118"/>
      <c r="F44" s="13"/>
    </row>
    <row r="45" spans="1:8" x14ac:dyDescent="0.2">
      <c r="E45" s="118"/>
      <c r="F45" s="13"/>
    </row>
    <row r="46" spans="1:8" x14ac:dyDescent="0.2">
      <c r="E46" s="118"/>
    </row>
    <row r="47" spans="1:8" x14ac:dyDescent="0.2">
      <c r="E47" s="118"/>
    </row>
    <row r="48" spans="1:8" x14ac:dyDescent="0.2">
      <c r="C48" s="14"/>
      <c r="E48" s="118"/>
      <c r="F48" s="13"/>
    </row>
    <row r="49" spans="3:8" x14ac:dyDescent="0.2">
      <c r="C49" s="14"/>
      <c r="E49" s="118"/>
    </row>
    <row r="50" spans="3:8" x14ac:dyDescent="0.2">
      <c r="C50" s="14"/>
      <c r="E50" s="118"/>
    </row>
    <row r="51" spans="3:8" x14ac:dyDescent="0.2">
      <c r="C51" s="14"/>
      <c r="E51" s="118"/>
    </row>
    <row r="52" spans="3:8" x14ac:dyDescent="0.2">
      <c r="E52" s="118"/>
      <c r="G52" s="12"/>
      <c r="H52" s="13"/>
    </row>
    <row r="53" spans="3:8" x14ac:dyDescent="0.2">
      <c r="E53" s="118"/>
      <c r="G53" s="12"/>
      <c r="H53" s="13"/>
    </row>
    <row r="54" spans="3:8" x14ac:dyDescent="0.2">
      <c r="E54" s="118"/>
      <c r="F54" s="13"/>
    </row>
    <row r="55" spans="3:8" x14ac:dyDescent="0.2">
      <c r="E55" s="118"/>
      <c r="F55" s="13"/>
    </row>
    <row r="56" spans="3:8" x14ac:dyDescent="0.2">
      <c r="E56" s="118"/>
      <c r="F56" s="13"/>
    </row>
    <row r="57" spans="3:8" x14ac:dyDescent="0.2">
      <c r="E57" s="118"/>
      <c r="F57" s="13"/>
    </row>
    <row r="58" spans="3:8" x14ac:dyDescent="0.2">
      <c r="C58" s="14"/>
      <c r="D58" s="14"/>
    </row>
    <row r="59" spans="3:8" x14ac:dyDescent="0.2">
      <c r="C59" s="14"/>
      <c r="D59" s="14"/>
    </row>
  </sheetData>
  <mergeCells count="1">
    <mergeCell ref="A13:H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34CA-6B04-450B-BAFF-5EAB6DDAE950}">
  <dimension ref="A1:AZ55"/>
  <sheetViews>
    <sheetView workbookViewId="0">
      <selection activeCell="I34" sqref="I34"/>
    </sheetView>
  </sheetViews>
  <sheetFormatPr defaultColWidth="13.7109375" defaultRowHeight="12.75" x14ac:dyDescent="0.2"/>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x14ac:dyDescent="0.2">
      <c r="AZ1" s="2">
        <v>1</v>
      </c>
    </row>
    <row r="13" spans="1:52" ht="33" customHeight="1" thickBot="1" x14ac:dyDescent="0.25">
      <c r="A13" s="218" t="s">
        <v>4</v>
      </c>
      <c r="B13" s="218"/>
      <c r="C13" s="218"/>
      <c r="D13" s="218"/>
      <c r="E13" s="218"/>
      <c r="F13" s="218"/>
      <c r="G13" s="218"/>
      <c r="H13" s="218"/>
      <c r="I13" s="3"/>
      <c r="J13" s="3"/>
      <c r="K13" s="3"/>
      <c r="L13" s="3"/>
    </row>
    <row r="14" spans="1:52" ht="18.75" thickBot="1" x14ac:dyDescent="0.3">
      <c r="A14" s="4" t="s">
        <v>5</v>
      </c>
      <c r="B14" s="5">
        <v>0.17</v>
      </c>
    </row>
    <row r="15" spans="1:52" ht="45" x14ac:dyDescent="0.25">
      <c r="A15" s="6" t="s">
        <v>6</v>
      </c>
      <c r="B15" s="6" t="s">
        <v>7</v>
      </c>
      <c r="C15" s="7" t="s">
        <v>8</v>
      </c>
      <c r="D15" s="8" t="s">
        <v>9</v>
      </c>
      <c r="E15" s="9" t="s">
        <v>10</v>
      </c>
      <c r="F15" s="9" t="s">
        <v>11</v>
      </c>
      <c r="G15" s="10" t="s">
        <v>12</v>
      </c>
      <c r="H15" s="11" t="s">
        <v>13</v>
      </c>
      <c r="I15" s="11"/>
    </row>
    <row r="16" spans="1:52" x14ac:dyDescent="0.2">
      <c r="D16" s="12"/>
      <c r="E16" s="13"/>
      <c r="F16" s="13"/>
      <c r="G16" s="12"/>
    </row>
    <row r="17" spans="1:8" x14ac:dyDescent="0.2">
      <c r="A17" s="1" t="s">
        <v>14</v>
      </c>
      <c r="B17" s="1" t="s">
        <v>15</v>
      </c>
      <c r="C17" s="14" t="s">
        <v>16</v>
      </c>
      <c r="D17" s="15">
        <v>1.17E-2</v>
      </c>
      <c r="E17" s="16">
        <v>1578019605.7929204</v>
      </c>
      <c r="F17" s="16">
        <v>0</v>
      </c>
      <c r="G17" s="17">
        <v>1.0415000000000001</v>
      </c>
      <c r="H17" s="13">
        <f>E17*G17</f>
        <v>1643507419.4333267</v>
      </c>
    </row>
    <row r="18" spans="1:8" x14ac:dyDescent="0.2">
      <c r="A18" s="1" t="s">
        <v>14</v>
      </c>
      <c r="B18" s="1" t="s">
        <v>17</v>
      </c>
      <c r="C18" s="14" t="s">
        <v>16</v>
      </c>
      <c r="D18" s="15">
        <v>8.0000000000000002E-3</v>
      </c>
      <c r="E18" s="16">
        <f>E17</f>
        <v>1578019605.7929204</v>
      </c>
      <c r="F18" s="16">
        <v>0</v>
      </c>
      <c r="G18" s="17">
        <f>G17</f>
        <v>1.0415000000000001</v>
      </c>
      <c r="H18" s="13">
        <f t="shared" ref="H18:H22" si="0">E18*G18</f>
        <v>1643507419.4333267</v>
      </c>
    </row>
    <row r="19" spans="1:8" x14ac:dyDescent="0.2">
      <c r="A19" s="1" t="s">
        <v>18</v>
      </c>
      <c r="B19" s="1" t="s">
        <v>15</v>
      </c>
      <c r="C19" s="14" t="s">
        <v>16</v>
      </c>
      <c r="D19" s="15">
        <v>1.2200000000000001E-2</v>
      </c>
      <c r="E19" s="16">
        <v>14392228.762428155</v>
      </c>
      <c r="F19" s="16">
        <v>0</v>
      </c>
      <c r="G19" s="17">
        <v>1.0415000000000001</v>
      </c>
      <c r="H19" s="13">
        <f t="shared" si="0"/>
        <v>14989506.256068924</v>
      </c>
    </row>
    <row r="20" spans="1:8" x14ac:dyDescent="0.2">
      <c r="A20" s="1" t="s">
        <v>18</v>
      </c>
      <c r="B20" s="1" t="s">
        <v>17</v>
      </c>
      <c r="C20" s="14" t="s">
        <v>16</v>
      </c>
      <c r="D20" s="15">
        <v>1.03E-2</v>
      </c>
      <c r="E20" s="16">
        <f>E19</f>
        <v>14392228.762428155</v>
      </c>
      <c r="F20" s="16">
        <v>0</v>
      </c>
      <c r="G20" s="17">
        <f>G19</f>
        <v>1.0415000000000001</v>
      </c>
      <c r="H20" s="13">
        <f t="shared" si="0"/>
        <v>14989506.256068924</v>
      </c>
    </row>
    <row r="21" spans="1:8" x14ac:dyDescent="0.2">
      <c r="A21" s="1" t="s">
        <v>19</v>
      </c>
      <c r="B21" s="1" t="s">
        <v>15</v>
      </c>
      <c r="C21" s="14" t="s">
        <v>16</v>
      </c>
      <c r="D21" s="15">
        <v>1.0699999999999999E-2</v>
      </c>
      <c r="E21" s="16">
        <v>355352505.68427235</v>
      </c>
      <c r="F21" s="16">
        <v>0</v>
      </c>
      <c r="G21" s="17">
        <v>1.0415000000000001</v>
      </c>
      <c r="H21" s="13">
        <f t="shared" si="0"/>
        <v>370099634.67016971</v>
      </c>
    </row>
    <row r="22" spans="1:8" x14ac:dyDescent="0.2">
      <c r="A22" s="1" t="s">
        <v>19</v>
      </c>
      <c r="B22" s="1" t="s">
        <v>17</v>
      </c>
      <c r="C22" s="14" t="s">
        <v>16</v>
      </c>
      <c r="D22" s="15">
        <v>7.4999999999999997E-3</v>
      </c>
      <c r="E22" s="16">
        <f>E21</f>
        <v>355352505.68427235</v>
      </c>
      <c r="F22" s="16">
        <v>0</v>
      </c>
      <c r="G22" s="17">
        <f>G21</f>
        <v>1.0415000000000001</v>
      </c>
      <c r="H22" s="13">
        <f t="shared" si="0"/>
        <v>370099634.67016971</v>
      </c>
    </row>
    <row r="23" spans="1:8" x14ac:dyDescent="0.2">
      <c r="A23" s="1" t="s">
        <v>20</v>
      </c>
      <c r="B23" s="1" t="s">
        <v>15</v>
      </c>
      <c r="C23" s="14" t="s">
        <v>21</v>
      </c>
      <c r="D23" s="15">
        <v>5.2130999999999998</v>
      </c>
      <c r="E23" s="18">
        <v>1350145170.913877</v>
      </c>
      <c r="F23" s="19">
        <v>3324315.753665213</v>
      </c>
      <c r="G23" s="12"/>
    </row>
    <row r="24" spans="1:8" x14ac:dyDescent="0.2">
      <c r="A24" s="1" t="s">
        <v>20</v>
      </c>
      <c r="B24" s="1" t="s">
        <v>17</v>
      </c>
      <c r="C24" s="14" t="s">
        <v>21</v>
      </c>
      <c r="D24" s="15">
        <v>3.4744999999999999</v>
      </c>
      <c r="E24" s="20">
        <f>E23</f>
        <v>1350145170.913877</v>
      </c>
      <c r="F24" s="21">
        <f>F23</f>
        <v>3324315.753665213</v>
      </c>
      <c r="G24" s="12"/>
    </row>
    <row r="25" spans="1:8" x14ac:dyDescent="0.2">
      <c r="A25" s="1" t="s">
        <v>20</v>
      </c>
      <c r="B25" s="1" t="s">
        <v>22</v>
      </c>
      <c r="C25" s="14" t="s">
        <v>21</v>
      </c>
      <c r="D25" s="15">
        <f>D23*$B$14</f>
        <v>0.88622699999999999</v>
      </c>
      <c r="E25" s="18">
        <v>1397619.1740915808</v>
      </c>
      <c r="F25" s="19">
        <v>36877.637657270949</v>
      </c>
      <c r="G25" s="12"/>
    </row>
    <row r="26" spans="1:8" x14ac:dyDescent="0.2">
      <c r="A26" s="1" t="s">
        <v>20</v>
      </c>
      <c r="B26" s="1" t="s">
        <v>23</v>
      </c>
      <c r="C26" s="14" t="s">
        <v>21</v>
      </c>
      <c r="D26" s="15">
        <f>D24*$B$14</f>
        <v>0.590665</v>
      </c>
      <c r="E26" s="18">
        <f>E25</f>
        <v>1397619.1740915808</v>
      </c>
      <c r="F26" s="19">
        <f>F25</f>
        <v>36877.637657270949</v>
      </c>
      <c r="G26" s="12"/>
    </row>
    <row r="27" spans="1:8" x14ac:dyDescent="0.2">
      <c r="A27" s="1" t="s">
        <v>24</v>
      </c>
      <c r="B27" s="1" t="s">
        <v>15</v>
      </c>
      <c r="C27" s="14" t="s">
        <v>21</v>
      </c>
      <c r="D27" s="15">
        <v>5.7435</v>
      </c>
      <c r="E27" s="18">
        <v>341725224.71034193</v>
      </c>
      <c r="F27" s="19">
        <v>744000.60861029197</v>
      </c>
      <c r="G27" s="12"/>
    </row>
    <row r="28" spans="1:8" x14ac:dyDescent="0.2">
      <c r="A28" s="1" t="s">
        <v>24</v>
      </c>
      <c r="B28" s="1" t="s">
        <v>25</v>
      </c>
      <c r="C28" s="14" t="s">
        <v>21</v>
      </c>
      <c r="D28" s="15">
        <v>3.8157999999999999</v>
      </c>
      <c r="E28" s="20">
        <f>E27</f>
        <v>341725224.71034193</v>
      </c>
      <c r="F28" s="21">
        <f>F27</f>
        <v>744000.60861029197</v>
      </c>
      <c r="G28" s="12"/>
    </row>
    <row r="29" spans="1:8" x14ac:dyDescent="0.2">
      <c r="A29" s="1" t="s">
        <v>24</v>
      </c>
      <c r="B29" s="1" t="s">
        <v>22</v>
      </c>
      <c r="C29" s="14" t="s">
        <v>21</v>
      </c>
      <c r="D29" s="15">
        <f>D27*$B$14</f>
        <v>0.97639500000000012</v>
      </c>
      <c r="E29" s="22">
        <v>0</v>
      </c>
      <c r="F29" s="23">
        <v>0</v>
      </c>
      <c r="G29" s="12"/>
    </row>
    <row r="30" spans="1:8" x14ac:dyDescent="0.2">
      <c r="A30" s="1" t="s">
        <v>24</v>
      </c>
      <c r="B30" s="1" t="s">
        <v>26</v>
      </c>
      <c r="C30" s="14" t="s">
        <v>21</v>
      </c>
      <c r="D30" s="15">
        <f>D28*$B$14</f>
        <v>0.64868599999999998</v>
      </c>
      <c r="E30" s="20">
        <f>E29</f>
        <v>0</v>
      </c>
      <c r="F30" s="21">
        <v>0</v>
      </c>
      <c r="G30" s="12"/>
    </row>
    <row r="31" spans="1:8" x14ac:dyDescent="0.2">
      <c r="A31" s="1" t="s">
        <v>27</v>
      </c>
      <c r="B31" s="1" t="s">
        <v>15</v>
      </c>
      <c r="C31" s="14" t="s">
        <v>21</v>
      </c>
      <c r="D31" s="15">
        <v>5.7435</v>
      </c>
      <c r="E31" s="16">
        <v>630463528.01005626</v>
      </c>
      <c r="F31" s="16">
        <v>1100817.9804563506</v>
      </c>
      <c r="G31" s="12"/>
    </row>
    <row r="32" spans="1:8" x14ac:dyDescent="0.2">
      <c r="A32" s="1" t="s">
        <v>27</v>
      </c>
      <c r="B32" s="1" t="s">
        <v>25</v>
      </c>
      <c r="C32" s="14" t="s">
        <v>21</v>
      </c>
      <c r="D32" s="15">
        <v>3.8157999999999999</v>
      </c>
      <c r="E32" s="16">
        <f>E31</f>
        <v>630463528.01005626</v>
      </c>
      <c r="F32" s="16">
        <f>F31</f>
        <v>1100817.9804563506</v>
      </c>
      <c r="G32" s="12"/>
    </row>
    <row r="33" spans="1:8" x14ac:dyDescent="0.2">
      <c r="A33" s="1" t="s">
        <v>28</v>
      </c>
      <c r="B33" s="1" t="s">
        <v>15</v>
      </c>
      <c r="C33" s="14" t="s">
        <v>16</v>
      </c>
      <c r="D33" s="15">
        <v>1.0699999999999999E-2</v>
      </c>
      <c r="E33" s="16">
        <v>6393062.1316104801</v>
      </c>
      <c r="F33" s="16">
        <v>0</v>
      </c>
      <c r="G33" s="17">
        <v>1.0415000000000001</v>
      </c>
      <c r="H33" s="13">
        <f t="shared" ref="H33:H34" si="1">E33*G33</f>
        <v>6658374.2100723153</v>
      </c>
    </row>
    <row r="34" spans="1:8" x14ac:dyDescent="0.2">
      <c r="A34" s="1" t="s">
        <v>28</v>
      </c>
      <c r="B34" s="1" t="s">
        <v>17</v>
      </c>
      <c r="C34" s="14" t="s">
        <v>16</v>
      </c>
      <c r="D34" s="15">
        <v>7.4999999999999997E-3</v>
      </c>
      <c r="E34" s="16">
        <f>E33</f>
        <v>6393062.1316104801</v>
      </c>
      <c r="F34" s="16">
        <v>0</v>
      </c>
      <c r="G34" s="17">
        <f>G33</f>
        <v>1.0415000000000001</v>
      </c>
      <c r="H34" s="13">
        <f t="shared" si="1"/>
        <v>6658374.2100723153</v>
      </c>
    </row>
    <row r="35" spans="1:8" x14ac:dyDescent="0.2">
      <c r="A35" s="1" t="s">
        <v>29</v>
      </c>
      <c r="B35" s="1" t="s">
        <v>15</v>
      </c>
      <c r="C35" s="14" t="s">
        <v>21</v>
      </c>
      <c r="D35" s="15">
        <v>3.2515999999999998</v>
      </c>
      <c r="E35" s="16">
        <v>83057.768353430511</v>
      </c>
      <c r="F35" s="16">
        <v>625.44345118936644</v>
      </c>
      <c r="G35" s="12"/>
    </row>
    <row r="36" spans="1:8" x14ac:dyDescent="0.2">
      <c r="A36" s="1" t="s">
        <v>29</v>
      </c>
      <c r="B36" s="1" t="s">
        <v>17</v>
      </c>
      <c r="C36" s="14" t="s">
        <v>21</v>
      </c>
      <c r="D36" s="15">
        <v>2.1844000000000001</v>
      </c>
      <c r="E36" s="16">
        <f>E35</f>
        <v>83057.768353430511</v>
      </c>
      <c r="F36" s="16">
        <f>F35</f>
        <v>625.44345118936644</v>
      </c>
      <c r="G36" s="12"/>
    </row>
    <row r="37" spans="1:8" x14ac:dyDescent="0.2">
      <c r="A37" s="1" t="s">
        <v>30</v>
      </c>
      <c r="B37" s="1" t="s">
        <v>15</v>
      </c>
      <c r="C37" s="14" t="s">
        <v>21</v>
      </c>
      <c r="D37" s="15">
        <v>3.4237000000000002</v>
      </c>
      <c r="E37" s="16">
        <v>16221478.844156178</v>
      </c>
      <c r="F37" s="16">
        <v>45205.829194696213</v>
      </c>
      <c r="G37" s="12"/>
    </row>
    <row r="38" spans="1:8" x14ac:dyDescent="0.2">
      <c r="A38" s="1" t="s">
        <v>30</v>
      </c>
      <c r="B38" s="1" t="s">
        <v>17</v>
      </c>
      <c r="C38" s="14" t="s">
        <v>21</v>
      </c>
      <c r="D38" s="15">
        <v>2.2826</v>
      </c>
      <c r="E38" s="16">
        <f>E37</f>
        <v>16221478.844156178</v>
      </c>
      <c r="F38" s="16">
        <f>F37</f>
        <v>45205.829194696213</v>
      </c>
      <c r="G38" s="12"/>
    </row>
    <row r="39" spans="1:8" x14ac:dyDescent="0.2">
      <c r="C39" s="14"/>
      <c r="D39" s="15"/>
      <c r="E39" s="16"/>
      <c r="F39" s="16"/>
      <c r="G39" s="12"/>
    </row>
    <row r="40" spans="1:8" x14ac:dyDescent="0.2">
      <c r="E40" s="13"/>
      <c r="G40" s="12"/>
      <c r="H40" s="13"/>
    </row>
    <row r="41" spans="1:8" x14ac:dyDescent="0.2">
      <c r="E41" s="118"/>
      <c r="G41" s="12"/>
      <c r="H41" s="13"/>
    </row>
    <row r="42" spans="1:8" x14ac:dyDescent="0.2">
      <c r="E42" s="118"/>
      <c r="G42" s="12"/>
      <c r="H42" s="13"/>
    </row>
    <row r="43" spans="1:8" x14ac:dyDescent="0.2">
      <c r="E43" s="118"/>
      <c r="G43" s="12"/>
      <c r="H43" s="13"/>
    </row>
    <row r="44" spans="1:8" x14ac:dyDescent="0.2">
      <c r="E44" s="118"/>
      <c r="F44" s="13"/>
    </row>
    <row r="45" spans="1:8" x14ac:dyDescent="0.2">
      <c r="E45" s="118"/>
      <c r="F45" s="13"/>
    </row>
    <row r="46" spans="1:8" x14ac:dyDescent="0.2">
      <c r="E46" s="118"/>
    </row>
    <row r="47" spans="1:8" x14ac:dyDescent="0.2">
      <c r="E47" s="118"/>
    </row>
    <row r="48" spans="1:8" x14ac:dyDescent="0.2">
      <c r="E48" s="118"/>
      <c r="G48" s="12"/>
      <c r="H48" s="13"/>
    </row>
    <row r="49" spans="3:8" x14ac:dyDescent="0.2">
      <c r="E49" s="118"/>
      <c r="G49" s="12"/>
      <c r="H49" s="13"/>
    </row>
    <row r="50" spans="3:8" x14ac:dyDescent="0.2">
      <c r="E50" s="118"/>
      <c r="F50" s="13"/>
    </row>
    <row r="51" spans="3:8" x14ac:dyDescent="0.2">
      <c r="E51" s="118"/>
      <c r="F51" s="13"/>
    </row>
    <row r="52" spans="3:8" x14ac:dyDescent="0.2">
      <c r="E52" s="118"/>
      <c r="F52" s="13"/>
    </row>
    <row r="53" spans="3:8" x14ac:dyDescent="0.2">
      <c r="E53" s="118"/>
      <c r="F53" s="13"/>
    </row>
    <row r="54" spans="3:8" x14ac:dyDescent="0.2">
      <c r="C54" s="14"/>
      <c r="D54" s="14"/>
    </row>
    <row r="55" spans="3:8" x14ac:dyDescent="0.2">
      <c r="C55" s="14"/>
      <c r="D55" s="14"/>
    </row>
  </sheetData>
  <mergeCells count="1">
    <mergeCell ref="A13:H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C4C0-878B-46A5-99B2-28563CC0EB42}">
  <dimension ref="A1:AZ55"/>
  <sheetViews>
    <sheetView workbookViewId="0">
      <selection activeCell="J28" sqref="J28"/>
    </sheetView>
  </sheetViews>
  <sheetFormatPr defaultColWidth="13.7109375" defaultRowHeight="12.75" x14ac:dyDescent="0.2"/>
  <cols>
    <col min="1" max="1" width="65.28515625" style="1" customWidth="1"/>
    <col min="2" max="2" width="76" style="1" bestFit="1" customWidth="1"/>
    <col min="3" max="3" width="6.42578125" style="1" bestFit="1" customWidth="1"/>
    <col min="4" max="4" width="10.5703125" style="1" customWidth="1"/>
    <col min="5" max="5" width="18.28515625" style="1" customWidth="1"/>
    <col min="6" max="6" width="14" style="1" customWidth="1"/>
    <col min="7" max="7" width="13.7109375" style="1"/>
    <col min="8" max="8" width="14.5703125" style="1" customWidth="1"/>
    <col min="9" max="16384" width="13.7109375" style="1"/>
  </cols>
  <sheetData>
    <row r="1" spans="1:52" x14ac:dyDescent="0.2">
      <c r="AZ1" s="2">
        <v>1</v>
      </c>
    </row>
    <row r="13" spans="1:52" ht="33" customHeight="1" thickBot="1" x14ac:dyDescent="0.25">
      <c r="A13" s="218" t="s">
        <v>4</v>
      </c>
      <c r="B13" s="218"/>
      <c r="C13" s="218"/>
      <c r="D13" s="218"/>
      <c r="E13" s="218"/>
      <c r="F13" s="218"/>
      <c r="G13" s="218"/>
      <c r="H13" s="218"/>
      <c r="I13" s="3"/>
      <c r="J13" s="3"/>
      <c r="K13" s="3"/>
      <c r="L13" s="3"/>
    </row>
    <row r="14" spans="1:52" ht="18.75" thickBot="1" x14ac:dyDescent="0.3">
      <c r="A14" s="4" t="s">
        <v>5</v>
      </c>
      <c r="B14" s="5">
        <v>0.17</v>
      </c>
    </row>
    <row r="15" spans="1:52" ht="45" x14ac:dyDescent="0.25">
      <c r="A15" s="6" t="s">
        <v>6</v>
      </c>
      <c r="B15" s="6" t="s">
        <v>7</v>
      </c>
      <c r="C15" s="7" t="s">
        <v>8</v>
      </c>
      <c r="D15" s="8" t="s">
        <v>9</v>
      </c>
      <c r="E15" s="9" t="s">
        <v>10</v>
      </c>
      <c r="F15" s="9" t="s">
        <v>11</v>
      </c>
      <c r="G15" s="10" t="s">
        <v>12</v>
      </c>
      <c r="H15" s="11" t="s">
        <v>13</v>
      </c>
      <c r="I15" s="11"/>
    </row>
    <row r="16" spans="1:52" x14ac:dyDescent="0.2">
      <c r="D16" s="12"/>
      <c r="E16" s="13"/>
      <c r="F16" s="13"/>
      <c r="G16" s="12"/>
    </row>
    <row r="17" spans="1:8" x14ac:dyDescent="0.2">
      <c r="A17" s="1" t="s">
        <v>14</v>
      </c>
      <c r="B17" s="1" t="s">
        <v>15</v>
      </c>
      <c r="C17" s="14" t="s">
        <v>16</v>
      </c>
      <c r="D17" s="15">
        <v>1.17E-2</v>
      </c>
      <c r="E17" s="16">
        <v>1611796222.8235793</v>
      </c>
      <c r="F17" s="16">
        <v>0</v>
      </c>
      <c r="G17" s="17">
        <v>1.0415000000000001</v>
      </c>
      <c r="H17" s="13">
        <f>E17*G17</f>
        <v>1678685766.0707581</v>
      </c>
    </row>
    <row r="18" spans="1:8" x14ac:dyDescent="0.2">
      <c r="A18" s="1" t="s">
        <v>14</v>
      </c>
      <c r="B18" s="1" t="s">
        <v>17</v>
      </c>
      <c r="C18" s="14" t="s">
        <v>16</v>
      </c>
      <c r="D18" s="15">
        <v>8.0000000000000002E-3</v>
      </c>
      <c r="E18" s="16">
        <f>E17</f>
        <v>1611796222.8235793</v>
      </c>
      <c r="F18" s="16">
        <v>0</v>
      </c>
      <c r="G18" s="17">
        <f>G17</f>
        <v>1.0415000000000001</v>
      </c>
      <c r="H18" s="13">
        <f t="shared" ref="H18:H22" si="0">E18*G18</f>
        <v>1678685766.0707581</v>
      </c>
    </row>
    <row r="19" spans="1:8" x14ac:dyDescent="0.2">
      <c r="A19" s="1" t="s">
        <v>18</v>
      </c>
      <c r="B19" s="1" t="s">
        <v>15</v>
      </c>
      <c r="C19" s="14" t="s">
        <v>16</v>
      </c>
      <c r="D19" s="15">
        <v>1.2200000000000001E-2</v>
      </c>
      <c r="E19" s="16">
        <v>14865355.214345908</v>
      </c>
      <c r="F19" s="16">
        <v>0</v>
      </c>
      <c r="G19" s="17">
        <v>1.0415000000000001</v>
      </c>
      <c r="H19" s="13">
        <f t="shared" si="0"/>
        <v>15482267.455741264</v>
      </c>
    </row>
    <row r="20" spans="1:8" x14ac:dyDescent="0.2">
      <c r="A20" s="1" t="s">
        <v>18</v>
      </c>
      <c r="B20" s="1" t="s">
        <v>17</v>
      </c>
      <c r="C20" s="14" t="s">
        <v>16</v>
      </c>
      <c r="D20" s="15">
        <v>1.03E-2</v>
      </c>
      <c r="E20" s="16">
        <f>E19</f>
        <v>14865355.214345908</v>
      </c>
      <c r="F20" s="16">
        <v>0</v>
      </c>
      <c r="G20" s="17">
        <f>G19</f>
        <v>1.0415000000000001</v>
      </c>
      <c r="H20" s="13">
        <f t="shared" si="0"/>
        <v>15482267.455741264</v>
      </c>
    </row>
    <row r="21" spans="1:8" x14ac:dyDescent="0.2">
      <c r="A21" s="1" t="s">
        <v>19</v>
      </c>
      <c r="B21" s="1" t="s">
        <v>15</v>
      </c>
      <c r="C21" s="14" t="s">
        <v>16</v>
      </c>
      <c r="D21" s="15">
        <v>1.0699999999999999E-2</v>
      </c>
      <c r="E21" s="16">
        <v>356378233.98522466</v>
      </c>
      <c r="F21" s="16">
        <v>0</v>
      </c>
      <c r="G21" s="17">
        <v>1.0415000000000001</v>
      </c>
      <c r="H21" s="13">
        <f t="shared" si="0"/>
        <v>371167930.69561154</v>
      </c>
    </row>
    <row r="22" spans="1:8" x14ac:dyDescent="0.2">
      <c r="A22" s="1" t="s">
        <v>19</v>
      </c>
      <c r="B22" s="1" t="s">
        <v>17</v>
      </c>
      <c r="C22" s="14" t="s">
        <v>16</v>
      </c>
      <c r="D22" s="15">
        <v>7.4999999999999997E-3</v>
      </c>
      <c r="E22" s="16">
        <f>E21</f>
        <v>356378233.98522466</v>
      </c>
      <c r="F22" s="16">
        <v>0</v>
      </c>
      <c r="G22" s="17">
        <f>G21</f>
        <v>1.0415000000000001</v>
      </c>
      <c r="H22" s="13">
        <f t="shared" si="0"/>
        <v>371167930.69561154</v>
      </c>
    </row>
    <row r="23" spans="1:8" x14ac:dyDescent="0.2">
      <c r="A23" s="1" t="s">
        <v>20</v>
      </c>
      <c r="B23" s="1" t="s">
        <v>15</v>
      </c>
      <c r="C23" s="14" t="s">
        <v>21</v>
      </c>
      <c r="D23" s="15">
        <v>5.2130999999999998</v>
      </c>
      <c r="E23" s="18">
        <v>1351440898.6555581</v>
      </c>
      <c r="F23" s="19">
        <v>3339968.745634567</v>
      </c>
      <c r="G23" s="12"/>
    </row>
    <row r="24" spans="1:8" x14ac:dyDescent="0.2">
      <c r="A24" s="1" t="s">
        <v>20</v>
      </c>
      <c r="B24" s="1" t="s">
        <v>17</v>
      </c>
      <c r="C24" s="14" t="s">
        <v>21</v>
      </c>
      <c r="D24" s="15">
        <v>3.4744999999999999</v>
      </c>
      <c r="E24" s="20">
        <f>E23</f>
        <v>1351440898.6555581</v>
      </c>
      <c r="F24" s="21">
        <f>F23</f>
        <v>3339968.745634567</v>
      </c>
      <c r="G24" s="12"/>
    </row>
    <row r="25" spans="1:8" x14ac:dyDescent="0.2">
      <c r="A25" s="1" t="s">
        <v>20</v>
      </c>
      <c r="B25" s="1" t="s">
        <v>22</v>
      </c>
      <c r="C25" s="14" t="s">
        <v>21</v>
      </c>
      <c r="D25" s="15">
        <f>D23*$B$14</f>
        <v>0.88622699999999999</v>
      </c>
      <c r="E25" s="18">
        <v>1393712.6124575282</v>
      </c>
      <c r="F25" s="19">
        <v>43607.077218812628</v>
      </c>
      <c r="G25" s="12"/>
    </row>
    <row r="26" spans="1:8" x14ac:dyDescent="0.2">
      <c r="A26" s="1" t="s">
        <v>20</v>
      </c>
      <c r="B26" s="1" t="s">
        <v>23</v>
      </c>
      <c r="C26" s="14" t="s">
        <v>21</v>
      </c>
      <c r="D26" s="15">
        <f>D24*$B$14</f>
        <v>0.590665</v>
      </c>
      <c r="E26" s="18">
        <f>E25</f>
        <v>1393712.6124575282</v>
      </c>
      <c r="F26" s="19">
        <f>F25</f>
        <v>43607.077218812628</v>
      </c>
      <c r="G26" s="12"/>
    </row>
    <row r="27" spans="1:8" x14ac:dyDescent="0.2">
      <c r="A27" s="1" t="s">
        <v>24</v>
      </c>
      <c r="B27" s="1" t="s">
        <v>15</v>
      </c>
      <c r="C27" s="14" t="s">
        <v>21</v>
      </c>
      <c r="D27" s="15">
        <v>5.7435</v>
      </c>
      <c r="E27" s="18">
        <v>353535914.45098007</v>
      </c>
      <c r="F27" s="19">
        <v>774616.48203383083</v>
      </c>
      <c r="G27" s="12"/>
    </row>
    <row r="28" spans="1:8" x14ac:dyDescent="0.2">
      <c r="A28" s="1" t="s">
        <v>24</v>
      </c>
      <c r="B28" s="1" t="s">
        <v>25</v>
      </c>
      <c r="C28" s="14" t="s">
        <v>21</v>
      </c>
      <c r="D28" s="15">
        <v>3.8157999999999999</v>
      </c>
      <c r="E28" s="20">
        <f>E27</f>
        <v>353535914.45098007</v>
      </c>
      <c r="F28" s="21">
        <f>F27</f>
        <v>774616.48203383083</v>
      </c>
      <c r="G28" s="12"/>
    </row>
    <row r="29" spans="1:8" x14ac:dyDescent="0.2">
      <c r="A29" s="1" t="s">
        <v>24</v>
      </c>
      <c r="B29" s="1" t="s">
        <v>22</v>
      </c>
      <c r="C29" s="14" t="s">
        <v>21</v>
      </c>
      <c r="D29" s="15">
        <f>D27*$B$14</f>
        <v>0.97639500000000012</v>
      </c>
      <c r="E29" s="22">
        <v>0</v>
      </c>
      <c r="F29" s="23">
        <v>0</v>
      </c>
      <c r="G29" s="12"/>
    </row>
    <row r="30" spans="1:8" x14ac:dyDescent="0.2">
      <c r="A30" s="1" t="s">
        <v>24</v>
      </c>
      <c r="B30" s="1" t="s">
        <v>26</v>
      </c>
      <c r="C30" s="14" t="s">
        <v>21</v>
      </c>
      <c r="D30" s="15">
        <f>D28*$B$14</f>
        <v>0.64868599999999998</v>
      </c>
      <c r="E30" s="20">
        <f>E29</f>
        <v>0</v>
      </c>
      <c r="F30" s="21">
        <v>0</v>
      </c>
      <c r="G30" s="12"/>
    </row>
    <row r="31" spans="1:8" x14ac:dyDescent="0.2">
      <c r="A31" s="1" t="s">
        <v>27</v>
      </c>
      <c r="B31" s="1" t="s">
        <v>15</v>
      </c>
      <c r="C31" s="14" t="s">
        <v>21</v>
      </c>
      <c r="D31" s="15">
        <v>5.7435</v>
      </c>
      <c r="E31" s="16">
        <v>637881051.87333214</v>
      </c>
      <c r="F31" s="16">
        <v>1121410.8585916488</v>
      </c>
      <c r="G31" s="12"/>
    </row>
    <row r="32" spans="1:8" x14ac:dyDescent="0.2">
      <c r="A32" s="1" t="s">
        <v>27</v>
      </c>
      <c r="B32" s="1" t="s">
        <v>25</v>
      </c>
      <c r="C32" s="14" t="s">
        <v>21</v>
      </c>
      <c r="D32" s="15">
        <v>3.8157999999999999</v>
      </c>
      <c r="E32" s="16">
        <f>E31</f>
        <v>637881051.87333214</v>
      </c>
      <c r="F32" s="16">
        <f>F31</f>
        <v>1121410.8585916488</v>
      </c>
      <c r="G32" s="12"/>
    </row>
    <row r="33" spans="1:8" x14ac:dyDescent="0.2">
      <c r="A33" s="1" t="s">
        <v>28</v>
      </c>
      <c r="B33" s="1" t="s">
        <v>15</v>
      </c>
      <c r="C33" s="14" t="s">
        <v>16</v>
      </c>
      <c r="D33" s="15">
        <v>1.0699999999999999E-2</v>
      </c>
      <c r="E33" s="16">
        <v>6364925.8013524516</v>
      </c>
      <c r="F33" s="16">
        <v>0</v>
      </c>
      <c r="G33" s="17">
        <v>1.0415000000000001</v>
      </c>
      <c r="H33" s="13">
        <f t="shared" ref="H33:H34" si="1">E33*G33</f>
        <v>6629070.2221085792</v>
      </c>
    </row>
    <row r="34" spans="1:8" x14ac:dyDescent="0.2">
      <c r="A34" s="1" t="s">
        <v>28</v>
      </c>
      <c r="B34" s="1" t="s">
        <v>17</v>
      </c>
      <c r="C34" s="14" t="s">
        <v>16</v>
      </c>
      <c r="D34" s="15">
        <v>7.4999999999999997E-3</v>
      </c>
      <c r="E34" s="16">
        <f>E33</f>
        <v>6364925.8013524516</v>
      </c>
      <c r="F34" s="16">
        <v>0</v>
      </c>
      <c r="G34" s="17">
        <f>G33</f>
        <v>1.0415000000000001</v>
      </c>
      <c r="H34" s="13">
        <f t="shared" si="1"/>
        <v>6629070.2221085792</v>
      </c>
    </row>
    <row r="35" spans="1:8" x14ac:dyDescent="0.2">
      <c r="A35" s="1" t="s">
        <v>29</v>
      </c>
      <c r="B35" s="1" t="s">
        <v>15</v>
      </c>
      <c r="C35" s="14" t="s">
        <v>21</v>
      </c>
      <c r="D35" s="15">
        <v>3.2515999999999998</v>
      </c>
      <c r="E35" s="16">
        <v>81654.423131114119</v>
      </c>
      <c r="F35" s="16">
        <v>616.25346374616186</v>
      </c>
      <c r="G35" s="12"/>
    </row>
    <row r="36" spans="1:8" x14ac:dyDescent="0.2">
      <c r="A36" s="1" t="s">
        <v>29</v>
      </c>
      <c r="B36" s="1" t="s">
        <v>17</v>
      </c>
      <c r="C36" s="14" t="s">
        <v>21</v>
      </c>
      <c r="D36" s="15">
        <v>2.1844000000000001</v>
      </c>
      <c r="E36" s="16">
        <f>E35</f>
        <v>81654.423131114119</v>
      </c>
      <c r="F36" s="16">
        <f>F35</f>
        <v>616.25346374616186</v>
      </c>
      <c r="G36" s="12"/>
    </row>
    <row r="37" spans="1:8" x14ac:dyDescent="0.2">
      <c r="A37" s="1" t="s">
        <v>30</v>
      </c>
      <c r="B37" s="1" t="s">
        <v>15</v>
      </c>
      <c r="C37" s="14" t="s">
        <v>21</v>
      </c>
      <c r="D37" s="15">
        <v>3.4237000000000002</v>
      </c>
      <c r="E37" s="16">
        <v>16425545.534290673</v>
      </c>
      <c r="F37" s="16">
        <v>45774.320408562664</v>
      </c>
      <c r="G37" s="12"/>
    </row>
    <row r="38" spans="1:8" x14ac:dyDescent="0.2">
      <c r="A38" s="1" t="s">
        <v>30</v>
      </c>
      <c r="B38" s="1" t="s">
        <v>17</v>
      </c>
      <c r="C38" s="14" t="s">
        <v>21</v>
      </c>
      <c r="D38" s="15">
        <v>2.2826</v>
      </c>
      <c r="E38" s="16">
        <f>E37</f>
        <v>16425545.534290673</v>
      </c>
      <c r="F38" s="16">
        <f>F37</f>
        <v>45774.320408562664</v>
      </c>
      <c r="G38" s="12"/>
    </row>
    <row r="39" spans="1:8" x14ac:dyDescent="0.2">
      <c r="C39" s="14"/>
      <c r="D39" s="15"/>
      <c r="E39" s="16"/>
      <c r="F39" s="16"/>
      <c r="G39" s="12"/>
    </row>
    <row r="40" spans="1:8" x14ac:dyDescent="0.2">
      <c r="E40" s="13"/>
      <c r="G40" s="12"/>
      <c r="H40" s="13"/>
    </row>
    <row r="41" spans="1:8" x14ac:dyDescent="0.2">
      <c r="E41" s="118"/>
      <c r="G41" s="12"/>
      <c r="H41" s="13"/>
    </row>
    <row r="42" spans="1:8" x14ac:dyDescent="0.2">
      <c r="E42" s="118"/>
      <c r="G42" s="12"/>
      <c r="H42" s="13"/>
    </row>
    <row r="43" spans="1:8" x14ac:dyDescent="0.2">
      <c r="E43" s="118"/>
      <c r="G43" s="12"/>
      <c r="H43" s="13"/>
    </row>
    <row r="44" spans="1:8" x14ac:dyDescent="0.2">
      <c r="E44" s="118"/>
      <c r="F44" s="13"/>
    </row>
    <row r="45" spans="1:8" x14ac:dyDescent="0.2">
      <c r="E45" s="118"/>
      <c r="F45" s="13"/>
    </row>
    <row r="46" spans="1:8" x14ac:dyDescent="0.2">
      <c r="E46" s="118"/>
    </row>
    <row r="47" spans="1:8" x14ac:dyDescent="0.2">
      <c r="E47" s="118"/>
    </row>
    <row r="48" spans="1:8" x14ac:dyDescent="0.2">
      <c r="E48" s="118"/>
      <c r="G48" s="12"/>
      <c r="H48" s="13"/>
    </row>
    <row r="49" spans="3:8" x14ac:dyDescent="0.2">
      <c r="E49" s="118"/>
      <c r="G49" s="12"/>
      <c r="H49" s="13"/>
    </row>
    <row r="50" spans="3:8" x14ac:dyDescent="0.2">
      <c r="E50" s="118"/>
      <c r="F50" s="13"/>
    </row>
    <row r="51" spans="3:8" x14ac:dyDescent="0.2">
      <c r="E51" s="118"/>
      <c r="F51" s="13"/>
    </row>
    <row r="52" spans="3:8" x14ac:dyDescent="0.2">
      <c r="E52" s="118"/>
      <c r="F52" s="13"/>
    </row>
    <row r="53" spans="3:8" x14ac:dyDescent="0.2">
      <c r="E53" s="118"/>
      <c r="F53" s="13"/>
    </row>
    <row r="54" spans="3:8" x14ac:dyDescent="0.2">
      <c r="C54" s="14"/>
      <c r="D54" s="14"/>
    </row>
    <row r="55" spans="3:8" x14ac:dyDescent="0.2">
      <c r="C55" s="14"/>
      <c r="D55" s="14"/>
    </row>
  </sheetData>
  <mergeCells count="1">
    <mergeCell ref="A13:H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D733-60B8-436C-AE01-6D98DFDD0719}">
  <dimension ref="B9:AC74"/>
  <sheetViews>
    <sheetView topLeftCell="G1" workbookViewId="0">
      <selection activeCell="M39" sqref="M39"/>
    </sheetView>
  </sheetViews>
  <sheetFormatPr defaultColWidth="9.28515625" defaultRowHeight="12.75" x14ac:dyDescent="0.2"/>
  <cols>
    <col min="1" max="1" width="11.7109375" style="1" customWidth="1"/>
    <col min="2" max="2" width="69" style="1" customWidth="1"/>
    <col min="3" max="3" width="15.42578125" style="1" customWidth="1"/>
    <col min="4" max="4" width="2.85546875" style="1" customWidth="1"/>
    <col min="5" max="5" width="22.7109375" style="1" customWidth="1"/>
    <col min="6" max="6" width="0.140625" style="1" customWidth="1"/>
    <col min="7" max="7" width="20.28515625" style="1" customWidth="1"/>
    <col min="8" max="8" width="2.28515625" style="1" customWidth="1"/>
    <col min="9" max="10" width="20.28515625" style="1" customWidth="1"/>
    <col min="11" max="11" width="17.42578125" style="1" customWidth="1"/>
    <col min="12" max="12" width="24.5703125" style="1" customWidth="1"/>
    <col min="13" max="18" width="15.28515625" style="1" customWidth="1"/>
    <col min="19" max="19" width="9.28515625" style="1"/>
    <col min="20" max="20" width="19.5703125" style="1" bestFit="1" customWidth="1"/>
    <col min="21" max="28" width="9.28515625" style="1"/>
    <col min="29" max="29" width="15.140625" style="1" bestFit="1" customWidth="1"/>
    <col min="30" max="16384" width="9.28515625" style="1"/>
  </cols>
  <sheetData>
    <row r="9" spans="2:27" x14ac:dyDescent="0.2">
      <c r="U9" s="1" t="s">
        <v>182</v>
      </c>
    </row>
    <row r="11" spans="2:27" ht="15" x14ac:dyDescent="0.25">
      <c r="S11" s="166"/>
      <c r="T11" s="167"/>
      <c r="U11" s="167">
        <v>2023</v>
      </c>
      <c r="V11" s="167">
        <v>2024</v>
      </c>
      <c r="W11" s="167">
        <v>2025</v>
      </c>
      <c r="X11" s="167">
        <v>2026</v>
      </c>
      <c r="Y11" s="168">
        <v>2027</v>
      </c>
    </row>
    <row r="12" spans="2:27" ht="15" x14ac:dyDescent="0.25">
      <c r="S12" s="169"/>
      <c r="T12" t="s">
        <v>82</v>
      </c>
      <c r="U12" s="170">
        <v>1869</v>
      </c>
      <c r="V12" s="170">
        <v>2017.3</v>
      </c>
      <c r="W12" s="170">
        <v>2113</v>
      </c>
      <c r="X12" s="170">
        <v>2223.4</v>
      </c>
      <c r="Y12" s="171">
        <v>2308</v>
      </c>
      <c r="AA12" s="1" t="s">
        <v>212</v>
      </c>
    </row>
    <row r="13" spans="2:27" ht="15" x14ac:dyDescent="0.25">
      <c r="S13" s="169"/>
      <c r="T13"/>
      <c r="U13"/>
      <c r="V13"/>
      <c r="W13"/>
      <c r="X13"/>
      <c r="Y13" s="172"/>
    </row>
    <row r="14" spans="2:27" ht="15" x14ac:dyDescent="0.25">
      <c r="S14" s="169"/>
      <c r="T14" t="s">
        <v>0</v>
      </c>
      <c r="U14">
        <v>1113.4000000000001</v>
      </c>
      <c r="V14">
        <v>1202.5999999999999</v>
      </c>
      <c r="W14">
        <v>1260.2</v>
      </c>
      <c r="X14">
        <v>1326.8</v>
      </c>
      <c r="Y14" s="172">
        <v>1378</v>
      </c>
    </row>
    <row r="15" spans="2:27" ht="15.75" x14ac:dyDescent="0.25">
      <c r="B15" s="24"/>
      <c r="C15" s="25"/>
      <c r="F15" s="25"/>
      <c r="H15" s="25"/>
      <c r="L15" s="25"/>
      <c r="M15" s="103" t="s">
        <v>181</v>
      </c>
      <c r="S15" s="169" t="s">
        <v>83</v>
      </c>
      <c r="T15" t="s">
        <v>84</v>
      </c>
      <c r="U15">
        <v>196.1</v>
      </c>
      <c r="V15">
        <v>211.4</v>
      </c>
      <c r="W15">
        <v>221.3</v>
      </c>
      <c r="X15">
        <v>232.6</v>
      </c>
      <c r="Y15" s="172">
        <v>241.4</v>
      </c>
    </row>
    <row r="16" spans="2:27" ht="15" x14ac:dyDescent="0.25">
      <c r="S16" s="169"/>
      <c r="T16" t="s">
        <v>85</v>
      </c>
      <c r="U16">
        <v>559.4</v>
      </c>
      <c r="V16">
        <v>603.20000000000005</v>
      </c>
      <c r="W16">
        <v>631.5</v>
      </c>
      <c r="X16">
        <v>663.9</v>
      </c>
      <c r="Y16" s="172">
        <v>688.7</v>
      </c>
    </row>
    <row r="17" spans="2:27" ht="15.75" x14ac:dyDescent="0.25">
      <c r="B17" s="26"/>
      <c r="C17" s="26"/>
      <c r="D17" s="27"/>
      <c r="E17" s="27"/>
      <c r="F17" s="28"/>
      <c r="G17" s="26"/>
      <c r="H17" s="28"/>
      <c r="I17" s="26"/>
      <c r="J17" s="26"/>
      <c r="K17" s="26"/>
      <c r="S17" s="169"/>
      <c r="T17"/>
      <c r="U17"/>
      <c r="V17"/>
      <c r="W17"/>
      <c r="X17"/>
      <c r="Y17" s="172"/>
    </row>
    <row r="18" spans="2:27" ht="29.25" customHeight="1" x14ac:dyDescent="0.25">
      <c r="B18" s="29" t="s">
        <v>31</v>
      </c>
      <c r="C18" s="30" t="s">
        <v>8</v>
      </c>
      <c r="D18" s="31"/>
      <c r="E18" s="30" t="s">
        <v>32</v>
      </c>
      <c r="F18"/>
      <c r="G18" s="30" t="s">
        <v>33</v>
      </c>
      <c r="H18" s="32"/>
      <c r="I18" s="30" t="s">
        <v>34</v>
      </c>
      <c r="J18" s="30" t="s">
        <v>35</v>
      </c>
      <c r="K18" s="31"/>
      <c r="L18" s="30">
        <v>2026</v>
      </c>
      <c r="M18" s="30">
        <v>2027</v>
      </c>
      <c r="N18" s="30">
        <f>M18+1</f>
        <v>2028</v>
      </c>
      <c r="O18" s="30">
        <f t="shared" ref="O18:Q18" si="0">N18+1</f>
        <v>2029</v>
      </c>
      <c r="P18" s="30">
        <f t="shared" si="0"/>
        <v>2030</v>
      </c>
      <c r="Q18" s="30">
        <f t="shared" si="0"/>
        <v>2031</v>
      </c>
      <c r="S18" s="169"/>
      <c r="T18" t="s">
        <v>0</v>
      </c>
      <c r="U18" s="173">
        <v>19399</v>
      </c>
      <c r="V18" s="173">
        <v>19449</v>
      </c>
      <c r="W18" s="173">
        <v>19204</v>
      </c>
      <c r="X18" s="173">
        <v>19124</v>
      </c>
      <c r="Y18" s="174">
        <v>19194</v>
      </c>
    </row>
    <row r="19" spans="2:27" ht="15.75" x14ac:dyDescent="0.25">
      <c r="B19" s="31"/>
      <c r="C19" s="31"/>
      <c r="D19" s="31"/>
      <c r="E19" s="31"/>
      <c r="F19" s="31"/>
      <c r="G19" s="31"/>
      <c r="H19" s="31"/>
      <c r="I19" s="31"/>
      <c r="J19" s="31"/>
      <c r="K19" s="31"/>
      <c r="L19" s="31"/>
      <c r="S19" s="169" t="s">
        <v>86</v>
      </c>
      <c r="T19" t="s">
        <v>84</v>
      </c>
      <c r="U19" s="173">
        <v>18830</v>
      </c>
      <c r="V19" s="173">
        <v>18879</v>
      </c>
      <c r="W19" s="173">
        <v>18642</v>
      </c>
      <c r="X19" s="173">
        <v>18565</v>
      </c>
      <c r="Y19" s="174">
        <v>18633</v>
      </c>
    </row>
    <row r="20" spans="2:27" ht="15.75" x14ac:dyDescent="0.25">
      <c r="B20" s="33" t="s">
        <v>7</v>
      </c>
      <c r="C20" s="33"/>
      <c r="D20" s="34"/>
      <c r="E20" s="230" t="s">
        <v>9</v>
      </c>
      <c r="F20" s="231"/>
      <c r="G20" s="231"/>
      <c r="H20" s="35"/>
      <c r="I20" s="230" t="s">
        <v>9</v>
      </c>
      <c r="J20" s="230"/>
      <c r="K20" s="34"/>
      <c r="L20" s="35" t="s">
        <v>9</v>
      </c>
      <c r="S20" s="169"/>
      <c r="T20" t="s">
        <v>85</v>
      </c>
      <c r="U20" s="173">
        <v>16018</v>
      </c>
      <c r="V20" s="173">
        <v>16059</v>
      </c>
      <c r="W20" s="173">
        <v>15858</v>
      </c>
      <c r="X20" s="173">
        <v>15792</v>
      </c>
      <c r="Y20" s="174">
        <v>15850</v>
      </c>
    </row>
    <row r="21" spans="2:27" ht="15" customHeight="1" x14ac:dyDescent="0.25">
      <c r="B21" s="31"/>
      <c r="C21" s="31"/>
      <c r="D21" s="31"/>
      <c r="E21" s="31"/>
      <c r="F21" s="31"/>
      <c r="G21" s="31"/>
      <c r="H21" s="31"/>
      <c r="I21" s="31"/>
      <c r="J21" s="31"/>
      <c r="K21" s="31"/>
      <c r="L21" s="31"/>
      <c r="S21" s="169"/>
      <c r="T21"/>
      <c r="U21"/>
      <c r="V21"/>
      <c r="W21"/>
      <c r="X21"/>
      <c r="Y21" s="172"/>
      <c r="AA21" s="1" t="s">
        <v>183</v>
      </c>
    </row>
    <row r="22" spans="2:27" ht="15.4" customHeight="1" x14ac:dyDescent="0.25">
      <c r="B22" s="36" t="s">
        <v>36</v>
      </c>
      <c r="C22" s="37" t="s">
        <v>37</v>
      </c>
      <c r="D22" s="38"/>
      <c r="E22" s="39">
        <v>5.78</v>
      </c>
      <c r="F22" s="40"/>
      <c r="G22" s="39">
        <v>6.12</v>
      </c>
      <c r="H22" s="41"/>
      <c r="I22" s="39">
        <v>6.37</v>
      </c>
      <c r="J22" s="39">
        <v>6.37</v>
      </c>
      <c r="K22" s="115"/>
      <c r="L22" s="42">
        <v>6.39</v>
      </c>
      <c r="M22" s="122">
        <f>L22*($AA$23)</f>
        <v>6.7584755882424217</v>
      </c>
      <c r="N22" s="122">
        <f t="shared" ref="N22:Q22" si="1">M22*($AA$23)</f>
        <v>7.1481991043613062</v>
      </c>
      <c r="O22" s="122">
        <f t="shared" si="1"/>
        <v>7.5603957976091127</v>
      </c>
      <c r="P22" s="122">
        <f t="shared" si="1"/>
        <v>7.9963615705151456</v>
      </c>
      <c r="Q22" s="122">
        <f t="shared" si="1"/>
        <v>8.4574670530651712</v>
      </c>
      <c r="S22" s="169"/>
      <c r="T22" t="s">
        <v>0</v>
      </c>
      <c r="U22" s="187">
        <f>U14/U18/12*1000</f>
        <v>4.7828925889650673</v>
      </c>
      <c r="V22" s="187">
        <f>V14/V18/12*1000</f>
        <v>5.1527927742643147</v>
      </c>
      <c r="W22" s="187">
        <f>W14/W18/12*1000</f>
        <v>5.4684787891411517</v>
      </c>
      <c r="X22" s="187">
        <f>X14/X18/12*1000</f>
        <v>5.7815659206581609</v>
      </c>
      <c r="Y22" s="175">
        <f>Y14/Y18/12*1000</f>
        <v>5.9827723941509499</v>
      </c>
    </row>
    <row r="23" spans="2:27" ht="15.75" x14ac:dyDescent="0.25">
      <c r="B23" s="38"/>
      <c r="C23" s="38"/>
      <c r="D23" s="38"/>
      <c r="E23" s="43"/>
      <c r="F23" s="34"/>
      <c r="G23" s="43"/>
      <c r="H23" s="44"/>
      <c r="I23" s="43"/>
      <c r="J23" s="43"/>
      <c r="K23" s="115"/>
      <c r="L23" s="43"/>
      <c r="S23" s="169" t="s">
        <v>87</v>
      </c>
      <c r="T23"/>
      <c r="U23"/>
      <c r="V23" s="176">
        <f>V22/U22</f>
        <v>1.0773381752608597</v>
      </c>
      <c r="W23" s="176">
        <f t="shared" ref="W23:Y23" si="2">W22/V22</f>
        <v>1.0612650321304467</v>
      </c>
      <c r="X23" s="176">
        <f t="shared" si="2"/>
        <v>1.0572530576764256</v>
      </c>
      <c r="Y23" s="177">
        <f t="shared" si="2"/>
        <v>1.0348013801544416</v>
      </c>
      <c r="AA23" s="121">
        <f>AVERAGE(V23:Y23)</f>
        <v>1.0576644113055433</v>
      </c>
    </row>
    <row r="24" spans="2:27" ht="15.4" customHeight="1" x14ac:dyDescent="0.25">
      <c r="B24" s="36" t="s">
        <v>38</v>
      </c>
      <c r="C24" s="37" t="s">
        <v>37</v>
      </c>
      <c r="D24" s="38"/>
      <c r="E24" s="39">
        <v>0.95</v>
      </c>
      <c r="F24" s="40"/>
      <c r="G24" s="39">
        <v>0.95</v>
      </c>
      <c r="H24" s="41"/>
      <c r="I24" s="39">
        <v>1</v>
      </c>
      <c r="J24" s="39">
        <v>1</v>
      </c>
      <c r="K24" s="115"/>
      <c r="L24" s="42">
        <v>1.03</v>
      </c>
      <c r="M24" s="122">
        <f>L24*($AA$25)</f>
        <v>1.0878936347271062</v>
      </c>
      <c r="N24" s="122">
        <f t="shared" ref="N24:Q24" si="3">M24*($AA$25)</f>
        <v>1.1490413208541306</v>
      </c>
      <c r="O24" s="122">
        <f t="shared" si="3"/>
        <v>1.2136259601899371</v>
      </c>
      <c r="P24" s="122">
        <f t="shared" si="3"/>
        <v>1.2818407349807814</v>
      </c>
      <c r="Q24" s="122">
        <f t="shared" si="3"/>
        <v>1.3538896857470948</v>
      </c>
      <c r="S24" s="169"/>
      <c r="T24" t="s">
        <v>84</v>
      </c>
      <c r="U24" s="187">
        <f t="shared" ref="U24:Y24" si="4">U15/U19/12*1000</f>
        <v>0.86785271729509639</v>
      </c>
      <c r="V24" s="187">
        <f t="shared" si="4"/>
        <v>0.93313558274626129</v>
      </c>
      <c r="W24" s="187">
        <f t="shared" si="4"/>
        <v>0.9892536566176735</v>
      </c>
      <c r="X24" s="187">
        <f t="shared" si="4"/>
        <v>1.044079360804381</v>
      </c>
      <c r="Y24" s="175">
        <f t="shared" si="4"/>
        <v>1.0796257535912985</v>
      </c>
    </row>
    <row r="25" spans="2:27" ht="15.75" x14ac:dyDescent="0.25">
      <c r="B25" s="38"/>
      <c r="C25" s="38"/>
      <c r="D25" s="38"/>
      <c r="E25" s="43"/>
      <c r="F25" s="34"/>
      <c r="G25" s="43"/>
      <c r="H25" s="44"/>
      <c r="I25" s="43"/>
      <c r="J25" s="43"/>
      <c r="K25" s="115"/>
      <c r="L25" s="43"/>
      <c r="S25" s="169"/>
      <c r="V25" s="176">
        <f>V24/U24</f>
        <v>1.0752234384362327</v>
      </c>
      <c r="W25" s="176">
        <f t="shared" ref="W25" si="5">W24/V24</f>
        <v>1.0601392497607411</v>
      </c>
      <c r="X25" s="176">
        <f t="shared" ref="X25" si="6">X24/W24</f>
        <v>1.0554212802954506</v>
      </c>
      <c r="Y25" s="177">
        <f t="shared" ref="Y25" si="7">Y24/X24</f>
        <v>1.0340456809332308</v>
      </c>
      <c r="AA25" s="121">
        <f>AVERAGE(V25:Y25)</f>
        <v>1.0562074123564138</v>
      </c>
    </row>
    <row r="26" spans="2:27" ht="15.4" customHeight="1" x14ac:dyDescent="0.25">
      <c r="B26" s="36" t="s">
        <v>39</v>
      </c>
      <c r="C26" s="37" t="s">
        <v>37</v>
      </c>
      <c r="D26" s="38"/>
      <c r="E26" s="39">
        <v>3.21</v>
      </c>
      <c r="F26" s="40"/>
      <c r="G26" s="39">
        <v>3.21</v>
      </c>
      <c r="H26" s="41"/>
      <c r="I26" s="39">
        <v>3.39</v>
      </c>
      <c r="J26" s="39">
        <v>3.39</v>
      </c>
      <c r="K26" s="115"/>
      <c r="L26" s="42">
        <v>3.47</v>
      </c>
      <c r="M26" s="122">
        <f>L26*($AA$27)</f>
        <v>3.6651792464754558</v>
      </c>
      <c r="N26" s="122">
        <f t="shared" ref="N26:Q26" si="8">M26*($AA$27)</f>
        <v>3.8713368613240311</v>
      </c>
      <c r="O26" s="122">
        <f t="shared" si="8"/>
        <v>4.0890903516542556</v>
      </c>
      <c r="P26" s="122">
        <f>O26*($AA$27)</f>
        <v>4.3190919578807492</v>
      </c>
      <c r="Q26" s="122">
        <f t="shared" si="8"/>
        <v>4.562030607390076</v>
      </c>
      <c r="S26" s="169"/>
      <c r="T26" t="s">
        <v>85</v>
      </c>
      <c r="U26" s="187">
        <f>U16/U20/12*1000</f>
        <v>2.9102676155991176</v>
      </c>
      <c r="V26" s="187">
        <f>V16/V20/12*1000</f>
        <v>3.1301243331880357</v>
      </c>
      <c r="W26" s="187">
        <f>W16/W20/12*1000</f>
        <v>3.3185143145415563</v>
      </c>
      <c r="X26" s="187">
        <f>X16/X20/12*1000</f>
        <v>3.5033561296859168</v>
      </c>
      <c r="Y26" s="175">
        <f>Y16/Y20/12*1000</f>
        <v>3.6209253417455312</v>
      </c>
    </row>
    <row r="27" spans="2:27" ht="15.75" x14ac:dyDescent="0.25">
      <c r="B27" s="31"/>
      <c r="C27" s="31"/>
      <c r="D27" s="31"/>
      <c r="E27" s="31"/>
      <c r="F27" s="31"/>
      <c r="G27" s="31"/>
      <c r="H27" s="31"/>
      <c r="I27" s="31"/>
      <c r="J27" s="31"/>
      <c r="K27" s="31"/>
      <c r="L27" s="31"/>
      <c r="S27" s="169"/>
      <c r="T27" s="188"/>
      <c r="U27" s="187"/>
      <c r="V27" s="176">
        <f>V26/U26</f>
        <v>1.0755451891813934</v>
      </c>
      <c r="W27" s="176">
        <f t="shared" ref="W27" si="9">W26/V26</f>
        <v>1.0601861016688896</v>
      </c>
      <c r="X27" s="176">
        <f t="shared" ref="X27" si="10">X26/W26</f>
        <v>1.0557001711080145</v>
      </c>
      <c r="Y27" s="177">
        <f t="shared" ref="Y27" si="11">Y26/X26</f>
        <v>1.0335590238923711</v>
      </c>
      <c r="AA27" s="121">
        <f>AVERAGE(V27:Y27)</f>
        <v>1.0562476214626673</v>
      </c>
    </row>
    <row r="28" spans="2:27" ht="15.75" x14ac:dyDescent="0.25">
      <c r="B28" s="31"/>
      <c r="C28" s="31"/>
      <c r="D28" s="31"/>
      <c r="E28" s="31"/>
      <c r="F28" s="31"/>
      <c r="G28" s="31"/>
      <c r="H28" s="31"/>
      <c r="I28" s="31"/>
      <c r="J28" s="31"/>
      <c r="K28" s="31"/>
      <c r="L28" s="31"/>
      <c r="S28" s="169"/>
      <c r="T28"/>
      <c r="U28"/>
      <c r="V28" s="178">
        <f>(V24+V26)/(U24+U26)</f>
        <v>1.0754712814617138</v>
      </c>
      <c r="W28" s="178">
        <f t="shared" ref="W28:Y28" si="12">(W24+W26)/(V24+V26)</f>
        <v>1.0601753420365951</v>
      </c>
      <c r="X28" s="178">
        <f t="shared" si="12"/>
        <v>1.0556361254681441</v>
      </c>
      <c r="Y28" s="179">
        <f t="shared" si="12"/>
        <v>1.0336707590831649</v>
      </c>
      <c r="AA28" s="121">
        <f>AVERAGE(V28:Y28)</f>
        <v>1.0562383770124044</v>
      </c>
    </row>
    <row r="29" spans="2:27" ht="28.5" customHeight="1" x14ac:dyDescent="0.25">
      <c r="B29" s="29" t="s">
        <v>40</v>
      </c>
      <c r="C29" s="30" t="s">
        <v>8</v>
      </c>
      <c r="D29" s="31"/>
      <c r="E29" s="239">
        <v>2024</v>
      </c>
      <c r="F29" s="239"/>
      <c r="G29" s="239"/>
      <c r="H29" s="32"/>
      <c r="I29" s="239">
        <v>2025</v>
      </c>
      <c r="J29" s="239"/>
      <c r="K29" s="31"/>
      <c r="L29" s="30">
        <v>2026</v>
      </c>
      <c r="S29" s="169"/>
      <c r="T29" t="s">
        <v>3</v>
      </c>
      <c r="U29" s="187">
        <f>U24+U22+U26</f>
        <v>8.5610129218592803</v>
      </c>
      <c r="V29" s="187">
        <f>V24+V22+V26</f>
        <v>9.2160526901986124</v>
      </c>
      <c r="W29" s="187">
        <f t="shared" ref="W29:Y29" si="13">W24+W22+W26</f>
        <v>9.7762467603003813</v>
      </c>
      <c r="X29" s="187">
        <f t="shared" si="13"/>
        <v>10.329001411148459</v>
      </c>
      <c r="Y29" s="175">
        <f t="shared" si="13"/>
        <v>10.68332348948778</v>
      </c>
    </row>
    <row r="30" spans="2:27" ht="15.75" customHeight="1" x14ac:dyDescent="0.25">
      <c r="B30" s="45"/>
      <c r="C30" s="46"/>
      <c r="D30" s="31"/>
      <c r="E30" s="47"/>
      <c r="F30" s="47"/>
      <c r="G30" s="48"/>
      <c r="H30" s="49"/>
      <c r="I30" s="50"/>
      <c r="J30" s="31"/>
      <c r="K30" s="50"/>
      <c r="L30" s="31"/>
      <c r="S30" s="180"/>
      <c r="T30" s="181"/>
      <c r="U30" s="181"/>
      <c r="V30" s="182">
        <f>V29/U29</f>
        <v>1.0765142833351864</v>
      </c>
      <c r="W30" s="182">
        <f t="shared" ref="W30" si="14">W29/V29</f>
        <v>1.0607845993217402</v>
      </c>
      <c r="X30" s="182">
        <f>X29/W29</f>
        <v>1.0565405788541178</v>
      </c>
      <c r="Y30" s="183">
        <f t="shared" ref="Y30" si="15">Y29/X29</f>
        <v>1.0343036140896338</v>
      </c>
      <c r="AA30" s="121">
        <f>AVERAGE(V30:Y30)</f>
        <v>1.0570357689001695</v>
      </c>
    </row>
    <row r="31" spans="2:27" ht="3" customHeight="1" x14ac:dyDescent="0.25">
      <c r="B31" s="50"/>
      <c r="C31" s="46"/>
      <c r="D31" s="31"/>
      <c r="E31" s="31"/>
      <c r="F31" s="50"/>
      <c r="G31" s="50"/>
      <c r="H31" s="51"/>
      <c r="I31" s="50"/>
      <c r="J31" s="31"/>
      <c r="K31" s="50"/>
      <c r="L31" s="31"/>
    </row>
    <row r="32" spans="2:27" ht="3" customHeight="1" x14ac:dyDescent="0.2">
      <c r="B32" s="31"/>
      <c r="C32" s="31"/>
      <c r="D32" s="31"/>
      <c r="E32" s="31"/>
      <c r="F32" s="50"/>
      <c r="G32" s="31"/>
      <c r="H32" s="31"/>
      <c r="I32" s="31"/>
      <c r="J32" s="31"/>
      <c r="K32" s="31"/>
      <c r="L32" s="31"/>
    </row>
    <row r="33" spans="2:29" ht="15.75" x14ac:dyDescent="0.25">
      <c r="B33" s="33" t="s">
        <v>7</v>
      </c>
      <c r="C33" s="33"/>
      <c r="D33" s="34"/>
      <c r="E33" s="230" t="s">
        <v>9</v>
      </c>
      <c r="F33" s="230"/>
      <c r="G33" s="230"/>
      <c r="H33" s="35"/>
      <c r="I33" s="230" t="s">
        <v>9</v>
      </c>
      <c r="J33" s="230"/>
      <c r="K33" s="31"/>
      <c r="L33" s="35" t="s">
        <v>9</v>
      </c>
      <c r="Z33" s="1" t="s">
        <v>212</v>
      </c>
    </row>
    <row r="34" spans="2:29" ht="15" x14ac:dyDescent="0.2">
      <c r="B34" s="31"/>
      <c r="C34" s="31"/>
      <c r="D34" s="31"/>
      <c r="E34" s="31"/>
      <c r="F34" s="31"/>
      <c r="G34" s="31"/>
      <c r="H34" s="31"/>
      <c r="I34" s="31"/>
      <c r="J34" s="31"/>
      <c r="K34" s="31"/>
      <c r="L34" s="31"/>
      <c r="AC34" s="1" t="s">
        <v>219</v>
      </c>
    </row>
    <row r="35" spans="2:29" ht="15.4" customHeight="1" x14ac:dyDescent="0.25">
      <c r="B35" s="36" t="s">
        <v>36</v>
      </c>
      <c r="C35" s="37" t="s">
        <v>37</v>
      </c>
      <c r="D35" s="38"/>
      <c r="E35" s="235">
        <v>4.9103000000000003</v>
      </c>
      <c r="F35" s="235"/>
      <c r="G35" s="235"/>
      <c r="H35" s="52"/>
      <c r="I35" s="236">
        <v>5.3280000000000003</v>
      </c>
      <c r="J35" s="236"/>
      <c r="K35" s="115"/>
      <c r="L35" s="53">
        <v>5.4707999999999997</v>
      </c>
      <c r="M35" s="123">
        <f>L35*($AA$23)</f>
        <v>5.7862704613703659</v>
      </c>
      <c r="N35" s="123">
        <f t="shared" ref="N35:Q35" si="16">M35*($AA$23)</f>
        <v>6.1199323411799424</v>
      </c>
      <c r="O35" s="123">
        <f t="shared" si="16"/>
        <v>6.4728346368638396</v>
      </c>
      <c r="P35" s="123">
        <f t="shared" si="16"/>
        <v>6.846086835676723</v>
      </c>
      <c r="Q35" s="123">
        <f t="shared" si="16"/>
        <v>7.2408624028026516</v>
      </c>
      <c r="V35" s="119"/>
      <c r="W35" s="119"/>
      <c r="AA35" s="121"/>
    </row>
    <row r="36" spans="2:29" ht="15.75" x14ac:dyDescent="0.25">
      <c r="B36" s="50"/>
      <c r="C36" s="50"/>
      <c r="D36" s="50"/>
      <c r="E36" s="237"/>
      <c r="F36" s="237"/>
      <c r="G36" s="237"/>
      <c r="H36" s="54"/>
      <c r="I36" s="50"/>
      <c r="J36" s="54"/>
      <c r="K36" s="115"/>
      <c r="L36" s="54"/>
      <c r="M36" s="123"/>
      <c r="N36" s="123"/>
      <c r="O36" s="123"/>
      <c r="P36" s="123"/>
      <c r="Q36" s="123"/>
      <c r="T36" s="1" t="s">
        <v>220</v>
      </c>
      <c r="U36" s="1">
        <v>1.5442</v>
      </c>
      <c r="V36" s="1">
        <v>1.6387</v>
      </c>
      <c r="W36" s="1">
        <v>1.7262</v>
      </c>
      <c r="X36" s="1">
        <v>1.8395999999999999</v>
      </c>
      <c r="Y36" s="1">
        <v>1.9332</v>
      </c>
      <c r="AC36" s="215">
        <v>58751624.107858509</v>
      </c>
    </row>
    <row r="37" spans="2:29" ht="15.4" customHeight="1" x14ac:dyDescent="0.25">
      <c r="B37" s="36" t="s">
        <v>38</v>
      </c>
      <c r="C37" s="37" t="s">
        <v>37</v>
      </c>
      <c r="D37" s="38"/>
      <c r="E37" s="238">
        <v>0.65369999999999995</v>
      </c>
      <c r="F37" s="238"/>
      <c r="G37" s="238"/>
      <c r="H37" s="52"/>
      <c r="I37" s="236">
        <v>0.68820000000000003</v>
      </c>
      <c r="J37" s="236"/>
      <c r="K37" s="115"/>
      <c r="L37" s="53">
        <v>0.70540000000000003</v>
      </c>
      <c r="M37" s="123">
        <f>L37*($AA$25)</f>
        <v>0.74504870867621431</v>
      </c>
      <c r="N37" s="123">
        <f t="shared" ref="N37:Q37" si="17">M37*($AA$25)</f>
        <v>0.78692596867039188</v>
      </c>
      <c r="O37" s="123">
        <f t="shared" si="17"/>
        <v>0.83115704108541899</v>
      </c>
      <c r="P37" s="123">
        <f t="shared" si="17"/>
        <v>0.87787422762664391</v>
      </c>
      <c r="Q37" s="123">
        <f t="shared" si="17"/>
        <v>0.92721726633592294</v>
      </c>
      <c r="V37" s="119">
        <f>V36/U36</f>
        <v>1.0611967361740708</v>
      </c>
      <c r="W37" s="119">
        <f t="shared" ref="W37:Y37" si="18">W36/V36</f>
        <v>1.0533959846219563</v>
      </c>
      <c r="X37" s="119">
        <f t="shared" si="18"/>
        <v>1.0656934306569343</v>
      </c>
      <c r="Y37" s="119">
        <f t="shared" si="18"/>
        <v>1.0508806262230921</v>
      </c>
      <c r="AA37" s="121">
        <f>AVERAGE(V37:Y37)</f>
        <v>1.0577916944190136</v>
      </c>
      <c r="AC37" s="215"/>
    </row>
    <row r="38" spans="2:29" ht="15.75" x14ac:dyDescent="0.25">
      <c r="B38" s="50"/>
      <c r="C38" s="50"/>
      <c r="D38" s="50"/>
      <c r="E38" s="237"/>
      <c r="F38" s="237"/>
      <c r="G38" s="237"/>
      <c r="H38" s="54"/>
      <c r="I38" s="50"/>
      <c r="J38" s="54"/>
      <c r="K38" s="115"/>
      <c r="L38" s="54"/>
      <c r="M38" s="123"/>
      <c r="N38" s="123"/>
      <c r="O38" s="123"/>
      <c r="P38" s="123"/>
      <c r="Q38" s="123"/>
      <c r="T38" s="1" t="s">
        <v>221</v>
      </c>
      <c r="U38" s="1">
        <v>1.9296</v>
      </c>
      <c r="V38" s="1">
        <v>2.0179502499945507</v>
      </c>
      <c r="W38" s="1">
        <v>2.1045017930639838</v>
      </c>
      <c r="X38" s="1">
        <v>2.2113122001437899</v>
      </c>
      <c r="Y38" s="1">
        <v>2.2981438889880605</v>
      </c>
      <c r="AC38" s="215">
        <v>1573012.3182776705</v>
      </c>
    </row>
    <row r="39" spans="2:29" ht="15.4" customHeight="1" x14ac:dyDescent="0.25">
      <c r="B39" s="36" t="s">
        <v>39</v>
      </c>
      <c r="C39" s="37" t="s">
        <v>37</v>
      </c>
      <c r="D39" s="38"/>
      <c r="E39" s="238">
        <v>3.3041</v>
      </c>
      <c r="F39" s="238"/>
      <c r="G39" s="238"/>
      <c r="H39" s="52"/>
      <c r="I39" s="236">
        <v>3.4893999999999998</v>
      </c>
      <c r="J39" s="236"/>
      <c r="K39" s="115"/>
      <c r="L39" s="53">
        <v>3.5764</v>
      </c>
      <c r="M39" s="123">
        <f>L39*($AA$27)</f>
        <v>3.7775639933990832</v>
      </c>
      <c r="N39" s="123">
        <f t="shared" ref="N39:Q39" si="19">M39*($AA$27)</f>
        <v>3.9900429829507966</v>
      </c>
      <c r="O39" s="123">
        <f t="shared" si="19"/>
        <v>4.214473410275585</v>
      </c>
      <c r="P39" s="123">
        <f t="shared" si="19"/>
        <v>4.4515275153212421</v>
      </c>
      <c r="Q39" s="123">
        <f t="shared" si="19"/>
        <v>4.701915349933679</v>
      </c>
      <c r="V39" s="119">
        <f>V38/U38</f>
        <v>1.0457868210999952</v>
      </c>
      <c r="W39" s="119">
        <f t="shared" ref="W39" si="20">W38/V38</f>
        <v>1.0428908210545165</v>
      </c>
      <c r="X39" s="119">
        <f t="shared" ref="X39" si="21">X38/W38</f>
        <v>1.0507532982066501</v>
      </c>
      <c r="Y39" s="119">
        <f t="shared" ref="Y39" si="22">Y38/X38</f>
        <v>1.03926704191232</v>
      </c>
      <c r="AA39" s="121">
        <f>AVERAGE(V39:Y39)</f>
        <v>1.0446744955683704</v>
      </c>
      <c r="AC39" s="215"/>
    </row>
    <row r="40" spans="2:29" ht="15.75" x14ac:dyDescent="0.25">
      <c r="B40" s="50"/>
      <c r="C40" s="50"/>
      <c r="D40" s="50"/>
      <c r="E40" s="237"/>
      <c r="F40" s="237"/>
      <c r="G40" s="237"/>
      <c r="H40" s="43"/>
      <c r="I40" s="50"/>
      <c r="J40" s="54"/>
      <c r="K40" s="115"/>
      <c r="L40" s="54"/>
      <c r="M40" s="123"/>
      <c r="N40" s="123"/>
      <c r="O40" s="123"/>
      <c r="P40" s="123"/>
      <c r="Q40" s="123"/>
      <c r="T40" s="1" t="s">
        <v>222</v>
      </c>
      <c r="U40" s="1">
        <v>621.87442505317449</v>
      </c>
      <c r="V40" s="1">
        <v>652.78977517885062</v>
      </c>
      <c r="W40" s="1">
        <v>675.59897101950958</v>
      </c>
      <c r="X40" s="1">
        <v>709.5987967718055</v>
      </c>
      <c r="Y40" s="1">
        <v>741.65740198146489</v>
      </c>
      <c r="AC40" s="215">
        <v>1048633975.3549858</v>
      </c>
    </row>
    <row r="41" spans="2:29" ht="15.4" customHeight="1" x14ac:dyDescent="0.25">
      <c r="B41" s="36" t="s">
        <v>41</v>
      </c>
      <c r="C41" s="37" t="s">
        <v>37</v>
      </c>
      <c r="D41" s="38"/>
      <c r="E41" s="238">
        <v>3.9578000000000002</v>
      </c>
      <c r="F41" s="238"/>
      <c r="G41" s="238"/>
      <c r="H41" s="52">
        <v>3.0055000000000001</v>
      </c>
      <c r="I41" s="236">
        <v>4.1776</v>
      </c>
      <c r="J41" s="236"/>
      <c r="K41" s="115"/>
      <c r="L41" s="53">
        <f>L37+L39</f>
        <v>4.2818000000000005</v>
      </c>
      <c r="M41" s="123">
        <f>M39+M37</f>
        <v>4.522612702075298</v>
      </c>
      <c r="N41" s="123">
        <f t="shared" ref="N41:Q41" si="23">N39+N37</f>
        <v>4.7769689516211882</v>
      </c>
      <c r="O41" s="123">
        <f t="shared" si="23"/>
        <v>5.0456304513610037</v>
      </c>
      <c r="P41" s="123">
        <f t="shared" si="23"/>
        <v>5.3294017429478862</v>
      </c>
      <c r="Q41" s="123">
        <f t="shared" si="23"/>
        <v>5.6291326162696018</v>
      </c>
      <c r="V41" s="119">
        <f>V40/U40</f>
        <v>1.0497131717919299</v>
      </c>
      <c r="W41" s="119">
        <f t="shared" ref="W41" si="24">W40/V40</f>
        <v>1.0349411046372621</v>
      </c>
      <c r="X41" s="119">
        <f t="shared" ref="X41" si="25">X40/W40</f>
        <v>1.05032545520457</v>
      </c>
      <c r="Y41" s="119">
        <f t="shared" ref="Y41" si="26">Y40/X40</f>
        <v>1.045178494320318</v>
      </c>
      <c r="AA41" s="121">
        <f>AVERAGE(V41:Y41)</f>
        <v>1.04503955648852</v>
      </c>
    </row>
    <row r="42" spans="2:29" ht="15.75" x14ac:dyDescent="0.25">
      <c r="B42" s="55"/>
      <c r="C42" s="55"/>
      <c r="D42"/>
      <c r="E42"/>
      <c r="F42" s="43"/>
      <c r="G42"/>
      <c r="H42" s="43"/>
      <c r="I42"/>
      <c r="J42"/>
      <c r="K42"/>
      <c r="L42" s="54"/>
    </row>
    <row r="43" spans="2:29" ht="15" x14ac:dyDescent="0.25">
      <c r="B43"/>
      <c r="C43"/>
      <c r="D43"/>
      <c r="E43"/>
      <c r="F43"/>
      <c r="G43"/>
      <c r="H43"/>
      <c r="I43"/>
      <c r="J43"/>
      <c r="K43"/>
      <c r="L43"/>
      <c r="AA43" s="119">
        <f>AA37*(AC36/($AC$36+$AC$38+$AC$40))+AA39*(AC38/($AC$36+$AC$38+$AC$40))+AA41*(AC40/($AC$36+$AC$38+$AC$40))</f>
        <v>1.0457146353967737</v>
      </c>
    </row>
    <row r="44" spans="2:29" ht="26.25" customHeight="1" x14ac:dyDescent="0.25">
      <c r="B44" s="56" t="s">
        <v>42</v>
      </c>
      <c r="C44" s="57" t="s">
        <v>8</v>
      </c>
      <c r="D44"/>
      <c r="E44" s="233">
        <f>E29</f>
        <v>2024</v>
      </c>
      <c r="F44" s="233"/>
      <c r="G44" s="233"/>
      <c r="H44" s="32"/>
      <c r="I44" s="234">
        <f>I29</f>
        <v>2025</v>
      </c>
      <c r="J44" s="234"/>
      <c r="K44" s="31"/>
      <c r="L44" s="58">
        <f>L29</f>
        <v>2026</v>
      </c>
    </row>
    <row r="45" spans="2:29" ht="15.75" x14ac:dyDescent="0.25">
      <c r="B45" s="45"/>
      <c r="C45" s="59"/>
      <c r="D45"/>
      <c r="E45"/>
      <c r="F45" s="55"/>
      <c r="G45" s="55"/>
      <c r="H45" s="55"/>
      <c r="I45" s="55"/>
      <c r="J45" s="55"/>
      <c r="K45" s="55"/>
      <c r="L45"/>
    </row>
    <row r="46" spans="2:29" ht="3" customHeight="1" x14ac:dyDescent="0.25">
      <c r="B46" s="55"/>
      <c r="C46" s="59"/>
      <c r="D46"/>
      <c r="E46"/>
      <c r="F46" s="51"/>
      <c r="G46" s="55"/>
      <c r="H46" s="51"/>
      <c r="I46" s="55"/>
      <c r="J46" s="55"/>
      <c r="K46" s="55"/>
      <c r="L46"/>
    </row>
    <row r="47" spans="2:29" ht="3" customHeight="1" x14ac:dyDescent="0.25">
      <c r="B47"/>
      <c r="C47"/>
      <c r="D47"/>
      <c r="E47"/>
      <c r="F47"/>
      <c r="G47"/>
      <c r="H47"/>
      <c r="I47"/>
      <c r="J47"/>
      <c r="K47"/>
      <c r="L47"/>
    </row>
    <row r="48" spans="2:29" ht="15.75" x14ac:dyDescent="0.25">
      <c r="B48" s="33" t="s">
        <v>7</v>
      </c>
      <c r="C48" s="33"/>
      <c r="D48" s="60"/>
      <c r="E48" s="230" t="s">
        <v>9</v>
      </c>
      <c r="F48" s="230"/>
      <c r="G48" s="230"/>
      <c r="H48" s="230" t="s">
        <v>9</v>
      </c>
      <c r="I48" s="231"/>
      <c r="J48" s="231"/>
      <c r="K48" s="31"/>
      <c r="L48" s="35" t="s">
        <v>9</v>
      </c>
    </row>
    <row r="49" spans="2:12" ht="15" x14ac:dyDescent="0.2">
      <c r="B49" s="61"/>
      <c r="C49" s="61"/>
      <c r="D49" s="61"/>
      <c r="E49" s="61"/>
      <c r="F49" s="61"/>
      <c r="G49" s="31"/>
      <c r="H49" s="31"/>
      <c r="I49" s="31"/>
      <c r="J49" s="31"/>
      <c r="K49" s="31"/>
      <c r="L49" s="31"/>
    </row>
    <row r="50" spans="2:12" ht="16.5" x14ac:dyDescent="0.25">
      <c r="B50" s="62" t="s">
        <v>36</v>
      </c>
      <c r="C50" s="63" t="s">
        <v>37</v>
      </c>
      <c r="D50" s="64"/>
      <c r="E50" s="232"/>
      <c r="F50" s="232"/>
      <c r="G50" s="232"/>
      <c r="H50" s="41"/>
      <c r="I50" s="226"/>
      <c r="J50" s="226"/>
      <c r="K50" s="50"/>
      <c r="L50" s="42"/>
    </row>
    <row r="51" spans="2:12" ht="15.75" x14ac:dyDescent="0.25">
      <c r="B51" s="65"/>
      <c r="C51" s="65"/>
      <c r="D51" s="65"/>
      <c r="E51" s="65"/>
      <c r="F51" s="65"/>
      <c r="G51" s="50"/>
      <c r="H51" s="43"/>
      <c r="I51" s="50"/>
      <c r="J51" s="50"/>
      <c r="K51" s="50"/>
      <c r="L51" s="43"/>
    </row>
    <row r="52" spans="2:12" ht="16.5" x14ac:dyDescent="0.25">
      <c r="B52" s="62" t="s">
        <v>38</v>
      </c>
      <c r="C52" s="63" t="s">
        <v>37</v>
      </c>
      <c r="D52" s="64"/>
      <c r="E52" s="232"/>
      <c r="F52" s="232"/>
      <c r="G52" s="232"/>
      <c r="H52" s="41"/>
      <c r="I52" s="226"/>
      <c r="J52" s="226"/>
      <c r="K52" s="50"/>
      <c r="L52" s="42"/>
    </row>
    <row r="53" spans="2:12" ht="15.75" x14ac:dyDescent="0.25">
      <c r="B53" s="65"/>
      <c r="C53" s="65"/>
      <c r="D53" s="65"/>
      <c r="E53" s="65"/>
      <c r="F53" s="65"/>
      <c r="G53" s="50"/>
      <c r="H53" s="43"/>
      <c r="I53" s="50"/>
      <c r="J53" s="50"/>
      <c r="K53" s="50"/>
      <c r="L53" s="43"/>
    </row>
    <row r="54" spans="2:12" ht="16.5" x14ac:dyDescent="0.25">
      <c r="B54" s="62" t="s">
        <v>39</v>
      </c>
      <c r="C54" s="63" t="s">
        <v>37</v>
      </c>
      <c r="D54" s="64"/>
      <c r="E54" s="232"/>
      <c r="F54" s="232"/>
      <c r="G54" s="232"/>
      <c r="H54" s="41"/>
      <c r="I54" s="226"/>
      <c r="J54" s="226"/>
      <c r="K54" s="50"/>
      <c r="L54" s="42"/>
    </row>
    <row r="55" spans="2:12" ht="15.75" x14ac:dyDescent="0.25">
      <c r="B55" s="65"/>
      <c r="C55" s="65"/>
      <c r="D55" s="65"/>
      <c r="E55" s="65"/>
      <c r="F55" s="65"/>
      <c r="G55" s="50"/>
      <c r="H55" s="43"/>
      <c r="I55" s="50"/>
      <c r="J55" s="50"/>
      <c r="K55" s="50"/>
      <c r="L55" s="43"/>
    </row>
    <row r="56" spans="2:12" ht="16.5" x14ac:dyDescent="0.25">
      <c r="B56" s="62" t="s">
        <v>41</v>
      </c>
      <c r="C56" s="63" t="s">
        <v>37</v>
      </c>
      <c r="D56" s="64"/>
      <c r="E56" s="228">
        <f>E54+E52</f>
        <v>0</v>
      </c>
      <c r="F56" s="228"/>
      <c r="G56" s="228"/>
      <c r="H56" s="43">
        <f>H54+H52</f>
        <v>0</v>
      </c>
      <c r="I56" s="228">
        <f>I54+I52</f>
        <v>0</v>
      </c>
      <c r="J56" s="228"/>
      <c r="K56" s="50"/>
      <c r="L56" s="43">
        <f>L54+L52</f>
        <v>0</v>
      </c>
    </row>
    <row r="57" spans="2:12" ht="15.75" x14ac:dyDescent="0.25">
      <c r="B57" s="55"/>
      <c r="C57" s="55"/>
      <c r="D57"/>
      <c r="E57"/>
      <c r="F57" s="43"/>
      <c r="G57"/>
      <c r="H57" s="43"/>
      <c r="I57"/>
      <c r="J57"/>
      <c r="K57"/>
      <c r="L57"/>
    </row>
    <row r="58" spans="2:12" ht="15" x14ac:dyDescent="0.25">
      <c r="B58"/>
      <c r="C58"/>
      <c r="D58"/>
      <c r="E58"/>
      <c r="F58"/>
      <c r="G58"/>
      <c r="H58"/>
      <c r="I58"/>
      <c r="J58"/>
      <c r="K58"/>
      <c r="L58"/>
    </row>
    <row r="59" spans="2:12" ht="27" customHeight="1" x14ac:dyDescent="0.25">
      <c r="B59" s="56" t="s">
        <v>43</v>
      </c>
      <c r="C59" s="57" t="s">
        <v>8</v>
      </c>
      <c r="D59"/>
      <c r="E59" s="233">
        <f>E29</f>
        <v>2024</v>
      </c>
      <c r="F59" s="233"/>
      <c r="G59" s="233"/>
      <c r="H59" s="32"/>
      <c r="I59" s="234">
        <f>I29</f>
        <v>2025</v>
      </c>
      <c r="J59" s="234"/>
      <c r="K59" s="31"/>
      <c r="L59" s="58">
        <f>L29</f>
        <v>2026</v>
      </c>
    </row>
    <row r="60" spans="2:12" ht="15.75" x14ac:dyDescent="0.25">
      <c r="B60" s="45"/>
      <c r="C60" s="59"/>
      <c r="D60"/>
      <c r="E60"/>
      <c r="F60" s="55"/>
      <c r="G60" s="55"/>
      <c r="H60" s="55"/>
      <c r="I60" s="55"/>
      <c r="J60" s="55"/>
      <c r="K60" s="55"/>
      <c r="L60"/>
    </row>
    <row r="61" spans="2:12" ht="3" customHeight="1" x14ac:dyDescent="0.25">
      <c r="B61" s="55"/>
      <c r="C61" s="59"/>
      <c r="D61"/>
      <c r="E61"/>
      <c r="F61" s="51"/>
      <c r="G61" s="55"/>
      <c r="H61" s="51"/>
      <c r="I61" s="55"/>
      <c r="J61" s="55"/>
      <c r="K61" s="55"/>
      <c r="L61"/>
    </row>
    <row r="62" spans="2:12" ht="3" customHeight="1" x14ac:dyDescent="0.25">
      <c r="B62"/>
      <c r="C62"/>
      <c r="D62"/>
      <c r="E62"/>
      <c r="F62"/>
      <c r="G62"/>
      <c r="H62"/>
      <c r="I62"/>
      <c r="J62"/>
      <c r="K62"/>
      <c r="L62"/>
    </row>
    <row r="63" spans="2:12" ht="15.75" x14ac:dyDescent="0.25">
      <c r="B63" s="33" t="s">
        <v>7</v>
      </c>
      <c r="C63" s="33"/>
      <c r="D63" s="34"/>
      <c r="E63" s="230" t="s">
        <v>9</v>
      </c>
      <c r="F63" s="230"/>
      <c r="G63" s="230"/>
      <c r="H63" s="230" t="s">
        <v>9</v>
      </c>
      <c r="I63" s="231"/>
      <c r="J63" s="231"/>
      <c r="K63" s="31"/>
      <c r="L63" s="35" t="s">
        <v>9</v>
      </c>
    </row>
    <row r="64" spans="2:12" ht="15" x14ac:dyDescent="0.2">
      <c r="B64" s="31"/>
      <c r="C64" s="31"/>
      <c r="D64" s="31"/>
      <c r="E64" s="31"/>
      <c r="F64" s="31"/>
      <c r="G64" s="31"/>
      <c r="H64" s="31"/>
      <c r="I64" s="31"/>
      <c r="J64" s="31"/>
      <c r="K64" s="31"/>
      <c r="L64" s="31"/>
    </row>
    <row r="65" spans="2:12" ht="15.75" x14ac:dyDescent="0.25">
      <c r="B65" s="36" t="s">
        <v>36</v>
      </c>
      <c r="C65" s="37" t="s">
        <v>37</v>
      </c>
      <c r="D65" s="38"/>
      <c r="E65" s="227"/>
      <c r="F65" s="227"/>
      <c r="G65" s="227"/>
      <c r="H65" s="41"/>
      <c r="I65" s="226"/>
      <c r="J65" s="226"/>
      <c r="K65" s="50"/>
      <c r="L65" s="42"/>
    </row>
    <row r="66" spans="2:12" ht="15.75" x14ac:dyDescent="0.25">
      <c r="B66" s="50"/>
      <c r="C66" s="50"/>
      <c r="D66" s="50"/>
      <c r="E66" s="50"/>
      <c r="F66" s="50"/>
      <c r="G66" s="50"/>
      <c r="H66" s="43"/>
      <c r="I66" s="50"/>
      <c r="J66" s="50"/>
      <c r="K66" s="50"/>
      <c r="L66" s="43"/>
    </row>
    <row r="67" spans="2:12" ht="15.75" x14ac:dyDescent="0.25">
      <c r="B67" s="36" t="s">
        <v>38</v>
      </c>
      <c r="C67" s="37" t="s">
        <v>37</v>
      </c>
      <c r="D67" s="38"/>
      <c r="E67" s="227"/>
      <c r="F67" s="227"/>
      <c r="G67" s="227"/>
      <c r="H67" s="41"/>
      <c r="I67" s="226"/>
      <c r="J67" s="226"/>
      <c r="K67" s="50"/>
      <c r="L67" s="42"/>
    </row>
    <row r="68" spans="2:12" ht="15.75" x14ac:dyDescent="0.25">
      <c r="B68" s="50"/>
      <c r="C68" s="50"/>
      <c r="D68" s="50"/>
      <c r="E68" s="50"/>
      <c r="F68" s="50"/>
      <c r="G68" s="50"/>
      <c r="H68" s="43"/>
      <c r="I68" s="50"/>
      <c r="J68" s="50"/>
      <c r="K68" s="50"/>
      <c r="L68" s="43"/>
    </row>
    <row r="69" spans="2:12" ht="15.75" x14ac:dyDescent="0.25">
      <c r="B69" s="36" t="s">
        <v>39</v>
      </c>
      <c r="C69" s="37" t="s">
        <v>37</v>
      </c>
      <c r="D69" s="38"/>
      <c r="E69" s="227"/>
      <c r="F69" s="227"/>
      <c r="G69" s="227"/>
      <c r="H69" s="41"/>
      <c r="I69" s="226"/>
      <c r="J69" s="226"/>
      <c r="K69" s="50"/>
      <c r="L69" s="42"/>
    </row>
    <row r="70" spans="2:12" ht="15.75" x14ac:dyDescent="0.25">
      <c r="B70" s="50"/>
      <c r="C70" s="50"/>
      <c r="D70" s="50"/>
      <c r="E70" s="50"/>
      <c r="F70" s="50"/>
      <c r="G70" s="50"/>
      <c r="H70" s="43"/>
      <c r="I70" s="50"/>
      <c r="J70" s="50"/>
      <c r="K70" s="50"/>
      <c r="L70" s="43"/>
    </row>
    <row r="71" spans="2:12" ht="15.75" x14ac:dyDescent="0.25">
      <c r="B71" s="36" t="s">
        <v>41</v>
      </c>
      <c r="C71" s="37" t="s">
        <v>37</v>
      </c>
      <c r="D71" s="38"/>
      <c r="E71" s="228">
        <f>E69+E67</f>
        <v>0</v>
      </c>
      <c r="F71" s="228"/>
      <c r="G71" s="228"/>
      <c r="H71" s="43">
        <f>H69+H67</f>
        <v>0</v>
      </c>
      <c r="I71" s="228">
        <f>J69+J67</f>
        <v>0</v>
      </c>
      <c r="J71" s="228"/>
      <c r="K71" s="50"/>
      <c r="L71" s="43">
        <f>L69+L67</f>
        <v>0</v>
      </c>
    </row>
    <row r="72" spans="2:12" ht="15.75" x14ac:dyDescent="0.25">
      <c r="B72" s="55"/>
      <c r="C72" s="55"/>
      <c r="D72"/>
      <c r="E72"/>
      <c r="F72" s="43"/>
      <c r="G72"/>
      <c r="H72" s="43"/>
      <c r="I72"/>
      <c r="J72"/>
      <c r="K72"/>
      <c r="L72"/>
    </row>
    <row r="73" spans="2:12" ht="15.75" x14ac:dyDescent="0.2">
      <c r="B73" s="31"/>
      <c r="C73" s="31"/>
      <c r="D73" s="31"/>
      <c r="E73" s="229" t="str">
        <f>"Historical " &amp;E59</f>
        <v>Historical 2024</v>
      </c>
      <c r="F73" s="229"/>
      <c r="G73" s="229"/>
      <c r="H73" s="66"/>
      <c r="I73" s="229" t="str">
        <f>"Current " &amp;I59</f>
        <v>Current 2025</v>
      </c>
      <c r="J73" s="229"/>
      <c r="K73" s="66"/>
      <c r="L73" s="66" t="str">
        <f>"Forecast " &amp;L59</f>
        <v>Forecast 2026</v>
      </c>
    </row>
    <row r="74" spans="2:12" ht="31.5" x14ac:dyDescent="0.25">
      <c r="B74" s="67" t="s">
        <v>44</v>
      </c>
      <c r="C74" s="68" t="s">
        <v>45</v>
      </c>
      <c r="D74" s="31"/>
      <c r="E74" s="225"/>
      <c r="F74" s="225"/>
      <c r="G74" s="225"/>
      <c r="H74" s="41"/>
      <c r="I74" s="226"/>
      <c r="J74" s="226"/>
      <c r="K74" s="69"/>
      <c r="L74" s="70"/>
    </row>
  </sheetData>
  <mergeCells count="45">
    <mergeCell ref="E20:G20"/>
    <mergeCell ref="I20:J20"/>
    <mergeCell ref="E29:G29"/>
    <mergeCell ref="I29:J29"/>
    <mergeCell ref="E33:G33"/>
    <mergeCell ref="I33:J33"/>
    <mergeCell ref="E44:G44"/>
    <mergeCell ref="I44:J44"/>
    <mergeCell ref="E35:G35"/>
    <mergeCell ref="I35:J35"/>
    <mergeCell ref="E36:G36"/>
    <mergeCell ref="E37:G37"/>
    <mergeCell ref="I37:J37"/>
    <mergeCell ref="E38:G38"/>
    <mergeCell ref="E39:G39"/>
    <mergeCell ref="I39:J39"/>
    <mergeCell ref="E40:G40"/>
    <mergeCell ref="E41:G41"/>
    <mergeCell ref="I41:J41"/>
    <mergeCell ref="E48:G48"/>
    <mergeCell ref="H48:J48"/>
    <mergeCell ref="E50:G50"/>
    <mergeCell ref="I50:J50"/>
    <mergeCell ref="E52:G52"/>
    <mergeCell ref="I52:J52"/>
    <mergeCell ref="E54:G54"/>
    <mergeCell ref="I54:J54"/>
    <mergeCell ref="E56:G56"/>
    <mergeCell ref="I56:J56"/>
    <mergeCell ref="E59:G59"/>
    <mergeCell ref="I59:J59"/>
    <mergeCell ref="E63:G63"/>
    <mergeCell ref="H63:J63"/>
    <mergeCell ref="E65:G65"/>
    <mergeCell ref="I65:J65"/>
    <mergeCell ref="E67:G67"/>
    <mergeCell ref="I67:J67"/>
    <mergeCell ref="E74:G74"/>
    <mergeCell ref="I74:J74"/>
    <mergeCell ref="E69:G69"/>
    <mergeCell ref="I69:J69"/>
    <mergeCell ref="E71:G71"/>
    <mergeCell ref="I71:J71"/>
    <mergeCell ref="E73:G73"/>
    <mergeCell ref="I73:J7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154FF-58EF-4170-B217-BFA6D90E3919}">
  <dimension ref="A13:Q112"/>
  <sheetViews>
    <sheetView topLeftCell="B8" workbookViewId="0">
      <selection activeCell="D38" sqref="D38:D49"/>
    </sheetView>
  </sheetViews>
  <sheetFormatPr defaultColWidth="9.28515625" defaultRowHeight="12.75" x14ac:dyDescent="0.2"/>
  <cols>
    <col min="1" max="1" width="11.7109375" style="1" hidden="1" customWidth="1"/>
    <col min="2" max="2" width="30.28515625" style="1" customWidth="1"/>
    <col min="3" max="3" width="3.7109375" style="1" customWidth="1"/>
    <col min="4" max="4" width="13.28515625" style="1" customWidth="1"/>
    <col min="5" max="5" width="15.28515625" style="1" customWidth="1"/>
    <col min="6" max="6" width="13.28515625" style="1" customWidth="1"/>
    <col min="7" max="7" width="2.7109375" style="1" customWidth="1"/>
    <col min="8" max="8" width="13.28515625" style="1" customWidth="1"/>
    <col min="9" max="9" width="9.42578125" style="1" bestFit="1" customWidth="1"/>
    <col min="10" max="10" width="13.28515625" style="1" customWidth="1"/>
    <col min="11" max="11" width="3.28515625" style="1" customWidth="1"/>
    <col min="12" max="12" width="13.28515625" style="1" customWidth="1"/>
    <col min="13" max="13" width="9.42578125" style="1" bestFit="1" customWidth="1"/>
    <col min="14" max="14" width="13.28515625" style="1" customWidth="1"/>
    <col min="15" max="15" width="3.7109375" style="1" customWidth="1"/>
    <col min="16" max="16" width="17.5703125" style="1" customWidth="1"/>
    <col min="17" max="16384" width="9.28515625" style="1"/>
  </cols>
  <sheetData>
    <row r="13" spans="2:17" ht="68.25" customHeight="1" x14ac:dyDescent="0.25">
      <c r="B13" s="242" t="s">
        <v>46</v>
      </c>
      <c r="C13" s="243"/>
      <c r="D13" s="243"/>
      <c r="E13" s="243"/>
      <c r="F13" s="243"/>
      <c r="G13" s="243"/>
      <c r="H13" s="243"/>
      <c r="I13" s="243"/>
      <c r="J13" s="243"/>
      <c r="K13" s="243"/>
      <c r="L13" s="243"/>
      <c r="M13" s="243"/>
      <c r="N13" s="243"/>
      <c r="O13" s="243"/>
      <c r="P13" s="243"/>
    </row>
    <row r="16" spans="2:17" ht="15.75" x14ac:dyDescent="0.25">
      <c r="B16" s="71" t="s">
        <v>47</v>
      </c>
      <c r="C16" s="72"/>
      <c r="D16" s="240" t="s">
        <v>0</v>
      </c>
      <c r="E16" s="240"/>
      <c r="F16" s="240"/>
      <c r="G16" s="72"/>
      <c r="H16" s="240" t="s">
        <v>1</v>
      </c>
      <c r="I16" s="240"/>
      <c r="J16" s="240"/>
      <c r="K16" s="72"/>
      <c r="L16" s="240" t="s">
        <v>2</v>
      </c>
      <c r="M16" s="240"/>
      <c r="N16" s="240"/>
      <c r="O16" s="72"/>
      <c r="P16" s="71" t="s">
        <v>48</v>
      </c>
      <c r="Q16" s="73"/>
    </row>
    <row r="17" spans="2:17" ht="15" x14ac:dyDescent="0.3">
      <c r="B17" s="74" t="s">
        <v>49</v>
      </c>
      <c r="C17" s="75"/>
      <c r="D17" s="76" t="s">
        <v>50</v>
      </c>
      <c r="E17" s="76" t="s">
        <v>9</v>
      </c>
      <c r="F17" s="76" t="s">
        <v>51</v>
      </c>
      <c r="G17" s="75"/>
      <c r="H17" s="76" t="s">
        <v>50</v>
      </c>
      <c r="I17" s="76" t="s">
        <v>9</v>
      </c>
      <c r="J17" s="76" t="s">
        <v>51</v>
      </c>
      <c r="K17" s="75"/>
      <c r="L17" s="76" t="s">
        <v>50</v>
      </c>
      <c r="M17" s="76" t="s">
        <v>9</v>
      </c>
      <c r="N17" s="76" t="s">
        <v>51</v>
      </c>
      <c r="O17" s="75"/>
      <c r="P17" s="76" t="s">
        <v>51</v>
      </c>
      <c r="Q17" s="26"/>
    </row>
    <row r="18" spans="2:17" x14ac:dyDescent="0.2">
      <c r="C18" s="26"/>
      <c r="D18" s="26"/>
      <c r="E18" s="26"/>
      <c r="F18" s="26"/>
      <c r="G18" s="26"/>
      <c r="H18" s="26"/>
      <c r="I18" s="26"/>
      <c r="J18" s="26"/>
      <c r="K18" s="26"/>
      <c r="L18" s="26"/>
      <c r="M18" s="26"/>
      <c r="N18" s="26"/>
      <c r="O18" s="26"/>
      <c r="P18" s="26"/>
      <c r="Q18" s="26"/>
    </row>
    <row r="19" spans="2:17" x14ac:dyDescent="0.2">
      <c r="B19" s="27" t="s">
        <v>52</v>
      </c>
      <c r="C19" s="26"/>
      <c r="D19" s="77">
        <v>308424</v>
      </c>
      <c r="E19" s="78">
        <f>'4. UTRs &amp; Sub-Transmission'!L22</f>
        <v>6.39</v>
      </c>
      <c r="F19" s="79">
        <f>D19*E19</f>
        <v>1970829.3599999999</v>
      </c>
      <c r="G19" s="26"/>
      <c r="H19" s="77">
        <v>159592</v>
      </c>
      <c r="I19" s="78">
        <f>'4. UTRs &amp; Sub-Transmission'!L24</f>
        <v>1.03</v>
      </c>
      <c r="J19" s="79">
        <f>H19*I19</f>
        <v>164379.76</v>
      </c>
      <c r="K19" s="26"/>
      <c r="L19" s="77">
        <v>328610</v>
      </c>
      <c r="M19" s="78">
        <f>'4. UTRs &amp; Sub-Transmission'!L26</f>
        <v>3.47</v>
      </c>
      <c r="N19" s="79">
        <f>L19*M19</f>
        <v>1140276.7</v>
      </c>
      <c r="O19" s="26"/>
      <c r="P19" s="80">
        <f t="shared" ref="P19:P30" si="0">J19+N19</f>
        <v>1304656.46</v>
      </c>
      <c r="Q19" s="26"/>
    </row>
    <row r="20" spans="2:17" x14ac:dyDescent="0.2">
      <c r="B20" s="27" t="s">
        <v>53</v>
      </c>
      <c r="C20" s="26"/>
      <c r="D20" s="77">
        <v>302626</v>
      </c>
      <c r="E20" s="78">
        <f>E19</f>
        <v>6.39</v>
      </c>
      <c r="F20" s="79">
        <f t="shared" ref="F20:F30" si="1">D20*E20</f>
        <v>1933780.14</v>
      </c>
      <c r="G20" s="26"/>
      <c r="H20" s="77">
        <v>167617</v>
      </c>
      <c r="I20" s="78">
        <f>I19</f>
        <v>1.03</v>
      </c>
      <c r="J20" s="79">
        <f t="shared" ref="J20:J30" si="2">H20*I20</f>
        <v>172645.51</v>
      </c>
      <c r="K20" s="26"/>
      <c r="L20" s="77">
        <v>321529</v>
      </c>
      <c r="M20" s="78">
        <f>M19</f>
        <v>3.47</v>
      </c>
      <c r="N20" s="79">
        <f t="shared" ref="N20:N30" si="3">L20*M20</f>
        <v>1115705.6300000001</v>
      </c>
      <c r="O20" s="26"/>
      <c r="P20" s="80">
        <f t="shared" si="0"/>
        <v>1288351.1400000001</v>
      </c>
      <c r="Q20" s="26"/>
    </row>
    <row r="21" spans="2:17" x14ac:dyDescent="0.2">
      <c r="B21" s="27" t="s">
        <v>54</v>
      </c>
      <c r="C21" s="26"/>
      <c r="D21" s="77">
        <v>297695</v>
      </c>
      <c r="E21" s="78">
        <f t="shared" ref="E21:E30" si="4">E20</f>
        <v>6.39</v>
      </c>
      <c r="F21" s="79">
        <f t="shared" si="1"/>
        <v>1902271.0499999998</v>
      </c>
      <c r="G21" s="26"/>
      <c r="H21" s="77">
        <v>160283</v>
      </c>
      <c r="I21" s="78">
        <f t="shared" ref="I21:I30" si="5">I20</f>
        <v>1.03</v>
      </c>
      <c r="J21" s="79">
        <f t="shared" si="2"/>
        <v>165091.49</v>
      </c>
      <c r="K21" s="26"/>
      <c r="L21" s="77">
        <v>306176</v>
      </c>
      <c r="M21" s="78">
        <f t="shared" ref="M21:M30" si="6">M20</f>
        <v>3.47</v>
      </c>
      <c r="N21" s="79">
        <f t="shared" si="3"/>
        <v>1062430.72</v>
      </c>
      <c r="O21" s="26"/>
      <c r="P21" s="80">
        <f t="shared" si="0"/>
        <v>1227522.21</v>
      </c>
      <c r="Q21" s="26"/>
    </row>
    <row r="22" spans="2:17" x14ac:dyDescent="0.2">
      <c r="B22" s="27" t="s">
        <v>55</v>
      </c>
      <c r="C22" s="26"/>
      <c r="D22" s="77">
        <v>289672</v>
      </c>
      <c r="E22" s="78">
        <f t="shared" si="4"/>
        <v>6.39</v>
      </c>
      <c r="F22" s="79">
        <f t="shared" si="1"/>
        <v>1851004.0799999998</v>
      </c>
      <c r="G22" s="26"/>
      <c r="H22" s="77">
        <v>153178</v>
      </c>
      <c r="I22" s="78">
        <f t="shared" si="5"/>
        <v>1.03</v>
      </c>
      <c r="J22" s="79">
        <f t="shared" si="2"/>
        <v>157773.34</v>
      </c>
      <c r="K22" s="26"/>
      <c r="L22" s="77">
        <v>291947</v>
      </c>
      <c r="M22" s="78">
        <f t="shared" si="6"/>
        <v>3.47</v>
      </c>
      <c r="N22" s="79">
        <f t="shared" si="3"/>
        <v>1013056.0900000001</v>
      </c>
      <c r="O22" s="26"/>
      <c r="P22" s="80">
        <f t="shared" si="0"/>
        <v>1170829.4300000002</v>
      </c>
      <c r="Q22" s="26"/>
    </row>
    <row r="23" spans="2:17" x14ac:dyDescent="0.2">
      <c r="B23" s="27" t="s">
        <v>56</v>
      </c>
      <c r="C23" s="26"/>
      <c r="D23" s="77">
        <v>355733</v>
      </c>
      <c r="E23" s="78">
        <f t="shared" si="4"/>
        <v>6.39</v>
      </c>
      <c r="F23" s="79">
        <f t="shared" si="1"/>
        <v>2273133.87</v>
      </c>
      <c r="G23" s="26"/>
      <c r="H23" s="77">
        <v>204228</v>
      </c>
      <c r="I23" s="78">
        <f t="shared" si="5"/>
        <v>1.03</v>
      </c>
      <c r="J23" s="79">
        <f t="shared" si="2"/>
        <v>210354.84</v>
      </c>
      <c r="K23" s="26"/>
      <c r="L23" s="77">
        <v>366772</v>
      </c>
      <c r="M23" s="78">
        <f t="shared" si="6"/>
        <v>3.47</v>
      </c>
      <c r="N23" s="79">
        <f t="shared" si="3"/>
        <v>1272698.8400000001</v>
      </c>
      <c r="O23" s="26"/>
      <c r="P23" s="80">
        <f t="shared" si="0"/>
        <v>1483053.6800000002</v>
      </c>
      <c r="Q23" s="26"/>
    </row>
    <row r="24" spans="2:17" x14ac:dyDescent="0.2">
      <c r="B24" s="27" t="s">
        <v>57</v>
      </c>
      <c r="C24" s="26"/>
      <c r="D24" s="77">
        <v>404915</v>
      </c>
      <c r="E24" s="78">
        <f t="shared" si="4"/>
        <v>6.39</v>
      </c>
      <c r="F24" s="79">
        <f t="shared" si="1"/>
        <v>2587406.85</v>
      </c>
      <c r="G24" s="26"/>
      <c r="H24" s="77">
        <v>254753</v>
      </c>
      <c r="I24" s="78">
        <f t="shared" si="5"/>
        <v>1.03</v>
      </c>
      <c r="J24" s="79">
        <f t="shared" si="2"/>
        <v>262395.59000000003</v>
      </c>
      <c r="K24" s="26"/>
      <c r="L24" s="77">
        <v>437872</v>
      </c>
      <c r="M24" s="78">
        <f t="shared" si="6"/>
        <v>3.47</v>
      </c>
      <c r="N24" s="79">
        <f t="shared" si="3"/>
        <v>1519415.84</v>
      </c>
      <c r="O24" s="26"/>
      <c r="P24" s="80">
        <f t="shared" si="0"/>
        <v>1781811.4300000002</v>
      </c>
      <c r="Q24" s="26"/>
    </row>
    <row r="25" spans="2:17" x14ac:dyDescent="0.2">
      <c r="B25" s="27" t="s">
        <v>58</v>
      </c>
      <c r="C25" s="26"/>
      <c r="D25" s="77">
        <v>442987</v>
      </c>
      <c r="E25" s="78">
        <f t="shared" si="4"/>
        <v>6.39</v>
      </c>
      <c r="F25" s="79">
        <f t="shared" si="1"/>
        <v>2830686.9299999997</v>
      </c>
      <c r="G25" s="26"/>
      <c r="H25" s="77">
        <v>266806</v>
      </c>
      <c r="I25" s="78">
        <f t="shared" si="5"/>
        <v>1.03</v>
      </c>
      <c r="J25" s="79">
        <f t="shared" si="2"/>
        <v>274810.18</v>
      </c>
      <c r="K25" s="26"/>
      <c r="L25" s="77">
        <v>454295</v>
      </c>
      <c r="M25" s="78">
        <f t="shared" si="6"/>
        <v>3.47</v>
      </c>
      <c r="N25" s="79">
        <f t="shared" si="3"/>
        <v>1576403.6500000001</v>
      </c>
      <c r="O25" s="26"/>
      <c r="P25" s="80">
        <f t="shared" si="0"/>
        <v>1851213.83</v>
      </c>
      <c r="Q25" s="26"/>
    </row>
    <row r="26" spans="2:17" x14ac:dyDescent="0.2">
      <c r="B26" s="27" t="s">
        <v>59</v>
      </c>
      <c r="C26" s="26"/>
      <c r="D26" s="77">
        <v>430747</v>
      </c>
      <c r="E26" s="78">
        <f t="shared" si="4"/>
        <v>6.39</v>
      </c>
      <c r="F26" s="79">
        <f t="shared" si="1"/>
        <v>2752473.33</v>
      </c>
      <c r="G26" s="26"/>
      <c r="H26" s="77">
        <v>258723</v>
      </c>
      <c r="I26" s="78">
        <f t="shared" si="5"/>
        <v>1.03</v>
      </c>
      <c r="J26" s="79">
        <f t="shared" si="2"/>
        <v>266484.69</v>
      </c>
      <c r="K26" s="26"/>
      <c r="L26" s="77">
        <v>447129</v>
      </c>
      <c r="M26" s="78">
        <f t="shared" si="6"/>
        <v>3.47</v>
      </c>
      <c r="N26" s="79">
        <f t="shared" si="3"/>
        <v>1551537.6300000001</v>
      </c>
      <c r="O26" s="26"/>
      <c r="P26" s="80">
        <f t="shared" si="0"/>
        <v>1818022.32</v>
      </c>
      <c r="Q26" s="26"/>
    </row>
    <row r="27" spans="2:17" x14ac:dyDescent="0.2">
      <c r="B27" s="27" t="s">
        <v>60</v>
      </c>
      <c r="C27" s="26"/>
      <c r="D27" s="77">
        <v>374467</v>
      </c>
      <c r="E27" s="78">
        <f t="shared" si="4"/>
        <v>6.39</v>
      </c>
      <c r="F27" s="79">
        <f t="shared" si="1"/>
        <v>2392844.13</v>
      </c>
      <c r="G27" s="26"/>
      <c r="H27" s="77">
        <v>210910</v>
      </c>
      <c r="I27" s="78">
        <f t="shared" si="5"/>
        <v>1.03</v>
      </c>
      <c r="J27" s="79">
        <f t="shared" si="2"/>
        <v>217237.30000000002</v>
      </c>
      <c r="K27" s="26"/>
      <c r="L27" s="77">
        <v>375465</v>
      </c>
      <c r="M27" s="78">
        <f t="shared" si="6"/>
        <v>3.47</v>
      </c>
      <c r="N27" s="79">
        <f t="shared" si="3"/>
        <v>1302863.55</v>
      </c>
      <c r="O27" s="26"/>
      <c r="P27" s="80">
        <f t="shared" si="0"/>
        <v>1520100.85</v>
      </c>
      <c r="Q27" s="26"/>
    </row>
    <row r="28" spans="2:17" x14ac:dyDescent="0.2">
      <c r="B28" s="27" t="s">
        <v>61</v>
      </c>
      <c r="C28" s="26"/>
      <c r="D28" s="77">
        <v>306696</v>
      </c>
      <c r="E28" s="78">
        <f t="shared" si="4"/>
        <v>6.39</v>
      </c>
      <c r="F28" s="79">
        <f t="shared" si="1"/>
        <v>1959787.44</v>
      </c>
      <c r="G28" s="26"/>
      <c r="H28" s="77">
        <v>220652</v>
      </c>
      <c r="I28" s="78">
        <f t="shared" si="5"/>
        <v>1.03</v>
      </c>
      <c r="J28" s="79">
        <f t="shared" si="2"/>
        <v>227271.56</v>
      </c>
      <c r="K28" s="26"/>
      <c r="L28" s="77">
        <v>321370</v>
      </c>
      <c r="M28" s="78">
        <f t="shared" si="6"/>
        <v>3.47</v>
      </c>
      <c r="N28" s="79">
        <f t="shared" si="3"/>
        <v>1115153.9000000001</v>
      </c>
      <c r="O28" s="26"/>
      <c r="P28" s="80">
        <f t="shared" si="0"/>
        <v>1342425.4600000002</v>
      </c>
      <c r="Q28" s="26"/>
    </row>
    <row r="29" spans="2:17" x14ac:dyDescent="0.2">
      <c r="B29" s="27" t="s">
        <v>62</v>
      </c>
      <c r="C29" s="26"/>
      <c r="D29" s="77">
        <v>295211</v>
      </c>
      <c r="E29" s="78">
        <f t="shared" si="4"/>
        <v>6.39</v>
      </c>
      <c r="F29" s="79">
        <f t="shared" si="1"/>
        <v>1886398.2899999998</v>
      </c>
      <c r="G29" s="26"/>
      <c r="H29" s="77">
        <v>167729</v>
      </c>
      <c r="I29" s="78">
        <f t="shared" si="5"/>
        <v>1.03</v>
      </c>
      <c r="J29" s="79">
        <f t="shared" si="2"/>
        <v>172760.87</v>
      </c>
      <c r="K29" s="26"/>
      <c r="L29" s="77">
        <v>276940</v>
      </c>
      <c r="M29" s="78">
        <f t="shared" si="6"/>
        <v>3.47</v>
      </c>
      <c r="N29" s="79">
        <f t="shared" si="3"/>
        <v>960981.8</v>
      </c>
      <c r="O29" s="26"/>
      <c r="P29" s="80">
        <f t="shared" si="0"/>
        <v>1133742.67</v>
      </c>
      <c r="Q29" s="26"/>
    </row>
    <row r="30" spans="2:17" x14ac:dyDescent="0.2">
      <c r="B30" s="27" t="s">
        <v>63</v>
      </c>
      <c r="C30" s="26"/>
      <c r="D30" s="77">
        <v>321506</v>
      </c>
      <c r="E30" s="78">
        <f t="shared" si="4"/>
        <v>6.39</v>
      </c>
      <c r="F30" s="79">
        <f t="shared" si="1"/>
        <v>2054423.3399999999</v>
      </c>
      <c r="G30" s="26"/>
      <c r="H30" s="77">
        <v>206783</v>
      </c>
      <c r="I30" s="78">
        <f t="shared" si="5"/>
        <v>1.03</v>
      </c>
      <c r="J30" s="79">
        <f t="shared" si="2"/>
        <v>212986.49000000002</v>
      </c>
      <c r="K30" s="26"/>
      <c r="L30" s="77">
        <v>320450</v>
      </c>
      <c r="M30" s="78">
        <f t="shared" si="6"/>
        <v>3.47</v>
      </c>
      <c r="N30" s="79">
        <f t="shared" si="3"/>
        <v>1111961.5</v>
      </c>
      <c r="O30" s="26"/>
      <c r="P30" s="80">
        <f t="shared" si="0"/>
        <v>1324947.99</v>
      </c>
      <c r="Q30" s="26"/>
    </row>
    <row r="31" spans="2:17" x14ac:dyDescent="0.2">
      <c r="B31" s="26"/>
      <c r="C31" s="26"/>
      <c r="D31" s="26"/>
      <c r="E31" s="26"/>
      <c r="F31" s="26"/>
      <c r="G31" s="26"/>
      <c r="H31" s="26"/>
      <c r="I31" s="26"/>
      <c r="J31" s="26"/>
      <c r="K31" s="26"/>
      <c r="L31" s="26"/>
      <c r="M31" s="26"/>
      <c r="N31" s="26"/>
      <c r="O31" s="26"/>
      <c r="P31" s="26"/>
      <c r="Q31" s="26"/>
    </row>
    <row r="32" spans="2:17" ht="13.5" thickBot="1" x14ac:dyDescent="0.25">
      <c r="B32" s="74" t="s">
        <v>3</v>
      </c>
      <c r="C32" s="26"/>
      <c r="D32" s="81">
        <f>SUM(D19:D30)</f>
        <v>4130679</v>
      </c>
      <c r="E32" s="82">
        <f>IF(D32&lt;&gt;0,F32/D32,0)</f>
        <v>6.39</v>
      </c>
      <c r="F32" s="83">
        <f>SUM(F19:F30)</f>
        <v>26395038.809999999</v>
      </c>
      <c r="G32" s="26"/>
      <c r="H32" s="81">
        <f>SUM(H19:H30)</f>
        <v>2431254</v>
      </c>
      <c r="I32" s="82">
        <f>IF(H32&lt;&gt;0,J32/H32,0)</f>
        <v>1.03</v>
      </c>
      <c r="J32" s="83">
        <f>SUM(J19:J30)</f>
        <v>2504191.62</v>
      </c>
      <c r="K32" s="26"/>
      <c r="L32" s="81">
        <f>SUM(L19:L30)</f>
        <v>4248555</v>
      </c>
      <c r="M32" s="82">
        <f>IF(L32&lt;&gt;0,N32/L32,0)</f>
        <v>3.47</v>
      </c>
      <c r="N32" s="83">
        <f>SUM(N19:N30)</f>
        <v>14742485.850000001</v>
      </c>
      <c r="O32" s="26"/>
      <c r="P32" s="83">
        <f>SUM(P19:P30)</f>
        <v>17246677.469999999</v>
      </c>
      <c r="Q32" s="26"/>
    </row>
    <row r="33" spans="2:17" x14ac:dyDescent="0.2">
      <c r="B33" s="26"/>
      <c r="C33" s="26"/>
      <c r="D33" s="26"/>
      <c r="E33" s="26"/>
      <c r="F33" s="26"/>
      <c r="G33" s="26"/>
      <c r="H33" s="26"/>
      <c r="I33" s="26"/>
      <c r="J33" s="26"/>
      <c r="K33" s="26"/>
      <c r="L33" s="26"/>
      <c r="M33" s="26"/>
      <c r="N33" s="26"/>
      <c r="O33" s="26"/>
      <c r="P33" s="26"/>
      <c r="Q33" s="26"/>
    </row>
    <row r="34" spans="2:17" x14ac:dyDescent="0.2">
      <c r="B34" s="71" t="s">
        <v>64</v>
      </c>
      <c r="C34" s="72"/>
      <c r="D34" s="240" t="s">
        <v>0</v>
      </c>
      <c r="E34" s="240"/>
      <c r="F34" s="240"/>
      <c r="G34" s="72"/>
      <c r="H34" s="240" t="s">
        <v>1</v>
      </c>
      <c r="I34" s="240"/>
      <c r="J34" s="240"/>
      <c r="K34" s="72"/>
      <c r="L34" s="240" t="s">
        <v>2</v>
      </c>
      <c r="M34" s="240"/>
      <c r="N34" s="240"/>
      <c r="O34" s="72"/>
      <c r="P34" s="71" t="s">
        <v>48</v>
      </c>
      <c r="Q34" s="26"/>
    </row>
    <row r="35" spans="2:17" ht="15" x14ac:dyDescent="0.3">
      <c r="B35" s="74"/>
      <c r="C35" s="75"/>
      <c r="D35" s="76"/>
      <c r="E35" s="76"/>
      <c r="F35" s="76"/>
      <c r="G35" s="75"/>
      <c r="H35" s="76"/>
      <c r="I35" s="76"/>
      <c r="J35" s="76"/>
      <c r="K35" s="75"/>
      <c r="L35" s="76"/>
      <c r="M35" s="76"/>
      <c r="N35" s="76"/>
      <c r="O35" s="75"/>
      <c r="P35" s="76"/>
      <c r="Q35" s="26"/>
    </row>
    <row r="36" spans="2:17" ht="15" x14ac:dyDescent="0.3">
      <c r="B36" s="74" t="s">
        <v>49</v>
      </c>
      <c r="C36" s="75"/>
      <c r="D36" s="76" t="s">
        <v>50</v>
      </c>
      <c r="E36" s="76" t="s">
        <v>9</v>
      </c>
      <c r="F36" s="76" t="s">
        <v>51</v>
      </c>
      <c r="G36" s="75"/>
      <c r="H36" s="76" t="s">
        <v>50</v>
      </c>
      <c r="I36" s="76" t="s">
        <v>9</v>
      </c>
      <c r="J36" s="76" t="s">
        <v>51</v>
      </c>
      <c r="K36" s="75"/>
      <c r="L36" s="76" t="s">
        <v>50</v>
      </c>
      <c r="M36" s="76" t="s">
        <v>9</v>
      </c>
      <c r="N36" s="76" t="s">
        <v>51</v>
      </c>
      <c r="O36" s="75"/>
      <c r="P36" s="76" t="s">
        <v>51</v>
      </c>
      <c r="Q36" s="26"/>
    </row>
    <row r="37" spans="2:17" x14ac:dyDescent="0.2">
      <c r="B37" s="26"/>
      <c r="C37" s="26"/>
      <c r="D37" s="26"/>
      <c r="E37" s="26"/>
      <c r="F37" s="26"/>
      <c r="G37" s="26"/>
      <c r="H37" s="26"/>
      <c r="I37" s="26"/>
      <c r="J37" s="26"/>
      <c r="K37" s="26"/>
      <c r="L37" s="26"/>
      <c r="M37" s="26"/>
      <c r="N37" s="26"/>
      <c r="O37" s="26"/>
      <c r="P37" s="26"/>
      <c r="Q37" s="26"/>
    </row>
    <row r="38" spans="2:17" x14ac:dyDescent="0.2">
      <c r="B38" s="27" t="s">
        <v>52</v>
      </c>
      <c r="C38" s="26"/>
      <c r="D38" s="77">
        <v>269999.2</v>
      </c>
      <c r="E38" s="84">
        <f>'4. UTRs &amp; Sub-Transmission'!L35</f>
        <v>5.4707999999999997</v>
      </c>
      <c r="F38" s="79">
        <f>D38*E38</f>
        <v>1477111.6233600001</v>
      </c>
      <c r="G38" s="26"/>
      <c r="H38" s="77">
        <v>245479.04000000001</v>
      </c>
      <c r="I38" s="84">
        <f>'4. UTRs &amp; Sub-Transmission'!L37</f>
        <v>0.70540000000000003</v>
      </c>
      <c r="J38" s="79">
        <f>H38*I38</f>
        <v>173160.914816</v>
      </c>
      <c r="K38" s="26"/>
      <c r="L38" s="77">
        <v>284616.3</v>
      </c>
      <c r="M38" s="84">
        <f>'4. UTRs &amp; Sub-Transmission'!L39</f>
        <v>3.5764</v>
      </c>
      <c r="N38" s="79">
        <f>L38*M38</f>
        <v>1017901.73532</v>
      </c>
      <c r="O38" s="26"/>
      <c r="P38" s="80">
        <f>J38+N38</f>
        <v>1191062.650136</v>
      </c>
      <c r="Q38" s="26"/>
    </row>
    <row r="39" spans="2:17" x14ac:dyDescent="0.2">
      <c r="B39" s="27" t="s">
        <v>53</v>
      </c>
      <c r="C39" s="26"/>
      <c r="D39" s="77">
        <v>270108.28000000003</v>
      </c>
      <c r="E39" s="84">
        <f>E38</f>
        <v>5.4707999999999997</v>
      </c>
      <c r="F39" s="79">
        <f t="shared" ref="F39:F49" si="7">D39*E39</f>
        <v>1477708.3782240001</v>
      </c>
      <c r="G39" s="26"/>
      <c r="H39" s="77">
        <v>225108.24</v>
      </c>
      <c r="I39" s="84">
        <f>I38</f>
        <v>0.70540000000000003</v>
      </c>
      <c r="J39" s="79">
        <f t="shared" ref="J39:J49" si="8">H39*I39</f>
        <v>158791.35249600001</v>
      </c>
      <c r="K39" s="26"/>
      <c r="L39" s="77">
        <v>271582.70999999996</v>
      </c>
      <c r="M39" s="84">
        <f>M38</f>
        <v>3.5764</v>
      </c>
      <c r="N39" s="79">
        <f t="shared" ref="N39:N49" si="9">L39*M39</f>
        <v>971288.40404399985</v>
      </c>
      <c r="O39" s="26"/>
      <c r="P39" s="80">
        <f t="shared" ref="P39:P49" si="10">J39+N39</f>
        <v>1130079.75654</v>
      </c>
      <c r="Q39" s="26"/>
    </row>
    <row r="40" spans="2:17" x14ac:dyDescent="0.2">
      <c r="B40" s="27" t="s">
        <v>54</v>
      </c>
      <c r="C40" s="26"/>
      <c r="D40" s="77">
        <v>227284.38999999998</v>
      </c>
      <c r="E40" s="84">
        <f t="shared" ref="E40:E49" si="11">E39</f>
        <v>5.4707999999999997</v>
      </c>
      <c r="F40" s="79">
        <f t="shared" si="7"/>
        <v>1243427.4408119998</v>
      </c>
      <c r="G40" s="26"/>
      <c r="H40" s="77">
        <v>193849.5</v>
      </c>
      <c r="I40" s="84">
        <f t="shared" ref="I40:I49" si="12">I39</f>
        <v>0.70540000000000003</v>
      </c>
      <c r="J40" s="79">
        <f t="shared" si="8"/>
        <v>136741.43730000002</v>
      </c>
      <c r="K40" s="26"/>
      <c r="L40" s="77">
        <v>231447.66</v>
      </c>
      <c r="M40" s="84">
        <f t="shared" ref="M40:M49" si="13">M39</f>
        <v>3.5764</v>
      </c>
      <c r="N40" s="79">
        <f t="shared" si="9"/>
        <v>827749.41122400004</v>
      </c>
      <c r="O40" s="26"/>
      <c r="P40" s="80">
        <f t="shared" si="10"/>
        <v>964490.84852400003</v>
      </c>
      <c r="Q40" s="26"/>
    </row>
    <row r="41" spans="2:17" x14ac:dyDescent="0.2">
      <c r="B41" s="27" t="s">
        <v>55</v>
      </c>
      <c r="C41" s="26"/>
      <c r="D41" s="77">
        <v>200007.33000000002</v>
      </c>
      <c r="E41" s="84">
        <f t="shared" si="11"/>
        <v>5.4707999999999997</v>
      </c>
      <c r="F41" s="79">
        <f t="shared" si="7"/>
        <v>1094200.100964</v>
      </c>
      <c r="G41" s="26"/>
      <c r="H41" s="77">
        <v>176911.53999999998</v>
      </c>
      <c r="I41" s="84">
        <f t="shared" si="12"/>
        <v>0.70540000000000003</v>
      </c>
      <c r="J41" s="79">
        <f t="shared" si="8"/>
        <v>124793.40031599998</v>
      </c>
      <c r="K41" s="26"/>
      <c r="L41" s="77">
        <v>204117.15000000002</v>
      </c>
      <c r="M41" s="84">
        <f t="shared" si="13"/>
        <v>3.5764</v>
      </c>
      <c r="N41" s="79">
        <f t="shared" si="9"/>
        <v>730004.57526000007</v>
      </c>
      <c r="O41" s="26"/>
      <c r="P41" s="80">
        <f t="shared" si="10"/>
        <v>854797.97557600006</v>
      </c>
      <c r="Q41" s="26"/>
    </row>
    <row r="42" spans="2:17" x14ac:dyDescent="0.2">
      <c r="B42" s="27" t="s">
        <v>56</v>
      </c>
      <c r="C42" s="26"/>
      <c r="D42" s="77">
        <v>233673.59999999998</v>
      </c>
      <c r="E42" s="84">
        <f t="shared" si="11"/>
        <v>5.4707999999999997</v>
      </c>
      <c r="F42" s="79">
        <f t="shared" si="7"/>
        <v>1278381.5308799997</v>
      </c>
      <c r="G42" s="26"/>
      <c r="H42" s="77">
        <v>194156.34000000003</v>
      </c>
      <c r="I42" s="84">
        <f t="shared" si="12"/>
        <v>0.70540000000000003</v>
      </c>
      <c r="J42" s="79">
        <f t="shared" si="8"/>
        <v>136957.88223600003</v>
      </c>
      <c r="K42" s="26"/>
      <c r="L42" s="77">
        <v>235687.96000000002</v>
      </c>
      <c r="M42" s="84">
        <f t="shared" si="13"/>
        <v>3.5764</v>
      </c>
      <c r="N42" s="79">
        <f t="shared" si="9"/>
        <v>842914.42014400009</v>
      </c>
      <c r="O42" s="26"/>
      <c r="P42" s="80">
        <f t="shared" si="10"/>
        <v>979872.30238000012</v>
      </c>
      <c r="Q42" s="26"/>
    </row>
    <row r="43" spans="2:17" x14ac:dyDescent="0.2">
      <c r="B43" s="27" t="s">
        <v>57</v>
      </c>
      <c r="C43" s="26"/>
      <c r="D43" s="77">
        <v>302498.11</v>
      </c>
      <c r="E43" s="84">
        <f t="shared" si="11"/>
        <v>5.4707999999999997</v>
      </c>
      <c r="F43" s="79">
        <f t="shared" si="7"/>
        <v>1654906.6601879997</v>
      </c>
      <c r="G43" s="26"/>
      <c r="H43" s="77">
        <v>263761.53000000003</v>
      </c>
      <c r="I43" s="84">
        <f t="shared" si="12"/>
        <v>0.70540000000000003</v>
      </c>
      <c r="J43" s="79">
        <f t="shared" si="8"/>
        <v>186057.38326200002</v>
      </c>
      <c r="K43" s="26"/>
      <c r="L43" s="77">
        <v>305381.54000000004</v>
      </c>
      <c r="M43" s="84">
        <f t="shared" si="13"/>
        <v>3.5764</v>
      </c>
      <c r="N43" s="79">
        <f t="shared" si="9"/>
        <v>1092166.5396560002</v>
      </c>
      <c r="O43" s="26"/>
      <c r="P43" s="80">
        <f t="shared" si="10"/>
        <v>1278223.9229180003</v>
      </c>
      <c r="Q43" s="26"/>
    </row>
    <row r="44" spans="2:17" x14ac:dyDescent="0.2">
      <c r="B44" s="27" t="s">
        <v>58</v>
      </c>
      <c r="C44" s="26"/>
      <c r="D44" s="77">
        <v>287240.21999999997</v>
      </c>
      <c r="E44" s="84">
        <f t="shared" si="11"/>
        <v>5.4707999999999997</v>
      </c>
      <c r="F44" s="79">
        <f t="shared" si="7"/>
        <v>1571433.7955759997</v>
      </c>
      <c r="G44" s="26"/>
      <c r="H44" s="77">
        <v>243992.88</v>
      </c>
      <c r="I44" s="84">
        <f t="shared" si="12"/>
        <v>0.70540000000000003</v>
      </c>
      <c r="J44" s="79">
        <f t="shared" si="8"/>
        <v>172112.577552</v>
      </c>
      <c r="K44" s="26"/>
      <c r="L44" s="77">
        <v>288077.65000000002</v>
      </c>
      <c r="M44" s="84">
        <f t="shared" si="13"/>
        <v>3.5764</v>
      </c>
      <c r="N44" s="79">
        <f t="shared" si="9"/>
        <v>1030280.9074600001</v>
      </c>
      <c r="O44" s="26"/>
      <c r="P44" s="80">
        <f t="shared" si="10"/>
        <v>1202393.4850120002</v>
      </c>
      <c r="Q44" s="26"/>
    </row>
    <row r="45" spans="2:17" x14ac:dyDescent="0.2">
      <c r="B45" s="27" t="s">
        <v>59</v>
      </c>
      <c r="C45" s="26"/>
      <c r="D45" s="77">
        <v>314464.28999999998</v>
      </c>
      <c r="E45" s="84">
        <f t="shared" si="11"/>
        <v>5.4707999999999997</v>
      </c>
      <c r="F45" s="79">
        <f t="shared" si="7"/>
        <v>1720371.2377319997</v>
      </c>
      <c r="G45" s="26"/>
      <c r="H45" s="77">
        <v>237597.9</v>
      </c>
      <c r="I45" s="84">
        <f t="shared" si="12"/>
        <v>0.70540000000000003</v>
      </c>
      <c r="J45" s="79">
        <f t="shared" si="8"/>
        <v>167601.55866000001</v>
      </c>
      <c r="K45" s="26"/>
      <c r="L45" s="77">
        <v>317936.01</v>
      </c>
      <c r="M45" s="84">
        <f t="shared" si="13"/>
        <v>3.5764</v>
      </c>
      <c r="N45" s="79">
        <f t="shared" si="9"/>
        <v>1137066.346164</v>
      </c>
      <c r="O45" s="26"/>
      <c r="P45" s="80">
        <f t="shared" si="10"/>
        <v>1304667.9048240001</v>
      </c>
      <c r="Q45" s="26"/>
    </row>
    <row r="46" spans="2:17" x14ac:dyDescent="0.2">
      <c r="B46" s="27" t="s">
        <v>60</v>
      </c>
      <c r="C46" s="26"/>
      <c r="D46" s="77">
        <v>262240.33999999997</v>
      </c>
      <c r="E46" s="84">
        <f t="shared" si="11"/>
        <v>5.4707999999999997</v>
      </c>
      <c r="F46" s="79">
        <f t="shared" si="7"/>
        <v>1434664.4520719997</v>
      </c>
      <c r="G46" s="26"/>
      <c r="H46" s="77">
        <v>204463.52</v>
      </c>
      <c r="I46" s="84">
        <f t="shared" si="12"/>
        <v>0.70540000000000003</v>
      </c>
      <c r="J46" s="79">
        <f t="shared" si="8"/>
        <v>144228.56700799998</v>
      </c>
      <c r="K46" s="26"/>
      <c r="L46" s="77">
        <v>263631.84999999998</v>
      </c>
      <c r="M46" s="84">
        <f t="shared" si="13"/>
        <v>3.5764</v>
      </c>
      <c r="N46" s="79">
        <f t="shared" si="9"/>
        <v>942852.94833999989</v>
      </c>
      <c r="O46" s="26"/>
      <c r="P46" s="80">
        <f t="shared" si="10"/>
        <v>1087081.515348</v>
      </c>
      <c r="Q46" s="26"/>
    </row>
    <row r="47" spans="2:17" x14ac:dyDescent="0.2">
      <c r="B47" s="27" t="s">
        <v>61</v>
      </c>
      <c r="C47" s="26"/>
      <c r="D47" s="77">
        <v>220815.19</v>
      </c>
      <c r="E47" s="84">
        <f t="shared" si="11"/>
        <v>5.4707999999999997</v>
      </c>
      <c r="F47" s="79">
        <f t="shared" si="7"/>
        <v>1208035.7414519999</v>
      </c>
      <c r="G47" s="26"/>
      <c r="H47" s="77">
        <v>175311.71999999997</v>
      </c>
      <c r="I47" s="84">
        <f t="shared" si="12"/>
        <v>0.70540000000000003</v>
      </c>
      <c r="J47" s="79">
        <f t="shared" si="8"/>
        <v>123664.88728799998</v>
      </c>
      <c r="K47" s="26"/>
      <c r="L47" s="77">
        <v>223401.90000000002</v>
      </c>
      <c r="M47" s="84">
        <f t="shared" si="13"/>
        <v>3.5764</v>
      </c>
      <c r="N47" s="79">
        <f t="shared" si="9"/>
        <v>798974.55516000011</v>
      </c>
      <c r="O47" s="26"/>
      <c r="P47" s="80">
        <f t="shared" si="10"/>
        <v>922639.44244800007</v>
      </c>
      <c r="Q47" s="26"/>
    </row>
    <row r="48" spans="2:17" x14ac:dyDescent="0.2">
      <c r="B48" s="27" t="s">
        <v>62</v>
      </c>
      <c r="C48" s="26"/>
      <c r="D48" s="77">
        <v>240060.15</v>
      </c>
      <c r="E48" s="84">
        <f t="shared" si="11"/>
        <v>5.4707999999999997</v>
      </c>
      <c r="F48" s="79">
        <f t="shared" si="7"/>
        <v>1313321.0686199998</v>
      </c>
      <c r="G48" s="26"/>
      <c r="H48" s="77">
        <v>194585.13</v>
      </c>
      <c r="I48" s="84">
        <f t="shared" si="12"/>
        <v>0.70540000000000003</v>
      </c>
      <c r="J48" s="79">
        <f t="shared" si="8"/>
        <v>137260.350702</v>
      </c>
      <c r="K48" s="26"/>
      <c r="L48" s="77">
        <v>243629.72</v>
      </c>
      <c r="M48" s="84">
        <f t="shared" si="13"/>
        <v>3.5764</v>
      </c>
      <c r="N48" s="79">
        <f t="shared" si="9"/>
        <v>871317.33060800005</v>
      </c>
      <c r="O48" s="26"/>
      <c r="P48" s="80">
        <f t="shared" si="10"/>
        <v>1008577.68131</v>
      </c>
      <c r="Q48" s="26"/>
    </row>
    <row r="49" spans="2:17" x14ac:dyDescent="0.2">
      <c r="B49" s="27" t="s">
        <v>63</v>
      </c>
      <c r="C49" s="26"/>
      <c r="D49" s="77">
        <v>247132.39</v>
      </c>
      <c r="E49" s="84">
        <f t="shared" si="11"/>
        <v>5.4707999999999997</v>
      </c>
      <c r="F49" s="79">
        <f t="shared" si="7"/>
        <v>1352011.8792119999</v>
      </c>
      <c r="G49" s="26"/>
      <c r="H49" s="77">
        <v>211220.48000000001</v>
      </c>
      <c r="I49" s="84">
        <f t="shared" si="12"/>
        <v>0.70540000000000003</v>
      </c>
      <c r="J49" s="79">
        <f t="shared" si="8"/>
        <v>148994.926592</v>
      </c>
      <c r="K49" s="26"/>
      <c r="L49" s="77">
        <v>253175.22</v>
      </c>
      <c r="M49" s="84">
        <f t="shared" si="13"/>
        <v>3.5764</v>
      </c>
      <c r="N49" s="79">
        <f t="shared" si="9"/>
        <v>905455.85680800001</v>
      </c>
      <c r="O49" s="26"/>
      <c r="P49" s="80">
        <f t="shared" si="10"/>
        <v>1054450.7834000001</v>
      </c>
      <c r="Q49" s="26"/>
    </row>
    <row r="50" spans="2:17" x14ac:dyDescent="0.2">
      <c r="B50" s="26"/>
      <c r="C50" s="26"/>
      <c r="D50" s="26"/>
      <c r="E50" s="26"/>
      <c r="F50" s="26"/>
      <c r="G50" s="26"/>
      <c r="H50" s="26"/>
      <c r="I50" s="26"/>
      <c r="J50" s="26"/>
      <c r="K50" s="26"/>
      <c r="L50" s="26"/>
      <c r="M50" s="26"/>
      <c r="N50" s="26"/>
      <c r="O50" s="26"/>
      <c r="P50" s="26"/>
      <c r="Q50" s="26"/>
    </row>
    <row r="51" spans="2:17" ht="13.5" thickBot="1" x14ac:dyDescent="0.25">
      <c r="B51" s="74" t="s">
        <v>3</v>
      </c>
      <c r="C51" s="26"/>
      <c r="D51" s="81">
        <f>SUM(D38:D49)</f>
        <v>3075523.4899999993</v>
      </c>
      <c r="E51" s="85">
        <f>IF(D51&lt;&gt;0,F51/D51,0)</f>
        <v>5.4708000000000006</v>
      </c>
      <c r="F51" s="83">
        <f>SUM(F38:F49)</f>
        <v>16825573.909091998</v>
      </c>
      <c r="G51" s="26"/>
      <c r="H51" s="81">
        <f>SUM(H38:H49)</f>
        <v>2566437.8199999998</v>
      </c>
      <c r="I51" s="85">
        <f>IF(H51&lt;&gt;0,J51/H51,0)</f>
        <v>0.70540000000000014</v>
      </c>
      <c r="J51" s="83">
        <f>SUM(J38:J49)</f>
        <v>1810365.2382280002</v>
      </c>
      <c r="K51" s="26"/>
      <c r="L51" s="81">
        <f>SUM(L38:L49)</f>
        <v>3122685.6700000009</v>
      </c>
      <c r="M51" s="85">
        <f>IF(L51&lt;&gt;0,N51/L51,0)</f>
        <v>3.5763999999999996</v>
      </c>
      <c r="N51" s="83">
        <f>SUM(N38:N49)</f>
        <v>11167973.030188002</v>
      </c>
      <c r="O51" s="26"/>
      <c r="P51" s="83">
        <f>SUM(P38:P49)</f>
        <v>12978338.268416002</v>
      </c>
      <c r="Q51" s="26"/>
    </row>
    <row r="52" spans="2:17" x14ac:dyDescent="0.2">
      <c r="B52" s="26"/>
      <c r="C52" s="26"/>
      <c r="D52" s="26"/>
      <c r="E52" s="26"/>
      <c r="F52" s="26"/>
      <c r="G52" s="26"/>
      <c r="H52" s="26"/>
      <c r="I52" s="26"/>
      <c r="J52" s="26"/>
      <c r="K52" s="26"/>
      <c r="L52" s="26"/>
      <c r="M52" s="26"/>
      <c r="N52" s="26"/>
      <c r="O52" s="26"/>
      <c r="P52" s="26"/>
      <c r="Q52" s="26"/>
    </row>
    <row r="53" spans="2:17" x14ac:dyDescent="0.2">
      <c r="B53" s="86" t="s">
        <v>65</v>
      </c>
      <c r="C53" s="72"/>
      <c r="D53" s="240" t="s">
        <v>0</v>
      </c>
      <c r="E53" s="240"/>
      <c r="F53" s="240"/>
      <c r="G53" s="72"/>
      <c r="H53" s="240" t="s">
        <v>1</v>
      </c>
      <c r="I53" s="240"/>
      <c r="J53" s="240"/>
      <c r="K53" s="72"/>
      <c r="L53" s="240" t="s">
        <v>2</v>
      </c>
      <c r="M53" s="240"/>
      <c r="N53" s="240"/>
      <c r="O53" s="72"/>
      <c r="P53" s="71" t="s">
        <v>48</v>
      </c>
      <c r="Q53" s="26"/>
    </row>
    <row r="54" spans="2:17" ht="15" x14ac:dyDescent="0.3">
      <c r="B54" s="87" t="s">
        <v>66</v>
      </c>
      <c r="C54" s="75"/>
      <c r="D54" s="76"/>
      <c r="E54" s="76"/>
      <c r="F54" s="76"/>
      <c r="G54" s="75"/>
      <c r="H54" s="76"/>
      <c r="I54" s="76"/>
      <c r="J54" s="76"/>
      <c r="K54" s="75"/>
      <c r="L54" s="76"/>
      <c r="M54" s="76"/>
      <c r="N54" s="76"/>
      <c r="O54" s="75"/>
      <c r="P54" s="76"/>
      <c r="Q54" s="26"/>
    </row>
    <row r="55" spans="2:17" ht="15" x14ac:dyDescent="0.3">
      <c r="B55" s="74" t="s">
        <v>49</v>
      </c>
      <c r="C55" s="75"/>
      <c r="D55" s="76" t="s">
        <v>50</v>
      </c>
      <c r="E55" s="76" t="s">
        <v>9</v>
      </c>
      <c r="F55" s="76" t="s">
        <v>51</v>
      </c>
      <c r="G55" s="75"/>
      <c r="H55" s="76" t="s">
        <v>50</v>
      </c>
      <c r="I55" s="76" t="s">
        <v>9</v>
      </c>
      <c r="J55" s="76" t="s">
        <v>51</v>
      </c>
      <c r="K55" s="75"/>
      <c r="L55" s="76" t="s">
        <v>50</v>
      </c>
      <c r="M55" s="76" t="s">
        <v>9</v>
      </c>
      <c r="N55" s="76" t="s">
        <v>51</v>
      </c>
      <c r="O55" s="75"/>
      <c r="P55" s="76" t="s">
        <v>51</v>
      </c>
      <c r="Q55" s="26"/>
    </row>
    <row r="56" spans="2:17" x14ac:dyDescent="0.2">
      <c r="B56" s="26"/>
      <c r="C56" s="26"/>
      <c r="D56" s="26"/>
      <c r="E56" s="26"/>
      <c r="F56" s="26"/>
      <c r="G56" s="26"/>
      <c r="H56" s="26"/>
      <c r="I56" s="26"/>
      <c r="J56" s="26"/>
      <c r="K56" s="26"/>
      <c r="L56" s="26"/>
      <c r="M56" s="26"/>
      <c r="N56" s="26"/>
      <c r="O56" s="26"/>
      <c r="P56" s="26"/>
      <c r="Q56" s="26"/>
    </row>
    <row r="57" spans="2:17" ht="13.5" x14ac:dyDescent="0.25">
      <c r="B57" s="27" t="s">
        <v>52</v>
      </c>
      <c r="C57" s="26"/>
      <c r="D57" s="77"/>
      <c r="E57" s="88">
        <f t="shared" ref="E57:E68" si="14">IF(D57&lt;&gt;0,F57/D57,0)</f>
        <v>0</v>
      </c>
      <c r="F57" s="79"/>
      <c r="G57" s="26"/>
      <c r="H57" s="77"/>
      <c r="I57" s="88">
        <f t="shared" ref="I57:I68" si="15">IF(H57&lt;&gt;0,J57/H57,0)</f>
        <v>0</v>
      </c>
      <c r="J57" s="89"/>
      <c r="K57" s="26"/>
      <c r="L57" s="77"/>
      <c r="M57" s="88">
        <f t="shared" ref="M57:M68" si="16">IF(L57&lt;&gt;0,N57/L57,0)</f>
        <v>0</v>
      </c>
      <c r="N57" s="79"/>
      <c r="O57" s="26"/>
      <c r="P57" s="80">
        <f t="shared" ref="P57:P68" si="17">J57+N57</f>
        <v>0</v>
      </c>
      <c r="Q57" s="26"/>
    </row>
    <row r="58" spans="2:17" ht="13.5" x14ac:dyDescent="0.25">
      <c r="B58" s="27" t="s">
        <v>53</v>
      </c>
      <c r="C58" s="26"/>
      <c r="D58" s="77"/>
      <c r="E58" s="88">
        <f t="shared" si="14"/>
        <v>0</v>
      </c>
      <c r="F58" s="79"/>
      <c r="G58" s="26"/>
      <c r="H58" s="77"/>
      <c r="I58" s="88">
        <f t="shared" si="15"/>
        <v>0</v>
      </c>
      <c r="J58" s="89"/>
      <c r="K58" s="26"/>
      <c r="L58" s="77"/>
      <c r="M58" s="88">
        <f t="shared" si="16"/>
        <v>0</v>
      </c>
      <c r="N58" s="79"/>
      <c r="O58" s="26"/>
      <c r="P58" s="80">
        <f t="shared" si="17"/>
        <v>0</v>
      </c>
      <c r="Q58" s="26"/>
    </row>
    <row r="59" spans="2:17" ht="13.5" x14ac:dyDescent="0.25">
      <c r="B59" s="27" t="s">
        <v>54</v>
      </c>
      <c r="C59" s="26"/>
      <c r="D59" s="77"/>
      <c r="E59" s="88">
        <f t="shared" si="14"/>
        <v>0</v>
      </c>
      <c r="F59" s="79"/>
      <c r="G59" s="26"/>
      <c r="H59" s="77"/>
      <c r="I59" s="88">
        <f t="shared" si="15"/>
        <v>0</v>
      </c>
      <c r="J59" s="89"/>
      <c r="K59" s="26"/>
      <c r="L59" s="77"/>
      <c r="M59" s="88">
        <f t="shared" si="16"/>
        <v>0</v>
      </c>
      <c r="N59" s="79"/>
      <c r="O59" s="26"/>
      <c r="P59" s="80">
        <f t="shared" si="17"/>
        <v>0</v>
      </c>
      <c r="Q59" s="26"/>
    </row>
    <row r="60" spans="2:17" ht="13.5" x14ac:dyDescent="0.25">
      <c r="B60" s="27" t="s">
        <v>55</v>
      </c>
      <c r="C60" s="26"/>
      <c r="D60" s="77"/>
      <c r="E60" s="88">
        <f t="shared" si="14"/>
        <v>0</v>
      </c>
      <c r="F60" s="79"/>
      <c r="G60" s="26"/>
      <c r="H60" s="77"/>
      <c r="I60" s="88">
        <f t="shared" si="15"/>
        <v>0</v>
      </c>
      <c r="J60" s="89"/>
      <c r="K60" s="26"/>
      <c r="L60" s="77"/>
      <c r="M60" s="88">
        <f t="shared" si="16"/>
        <v>0</v>
      </c>
      <c r="N60" s="79"/>
      <c r="O60" s="26"/>
      <c r="P60" s="80">
        <f t="shared" si="17"/>
        <v>0</v>
      </c>
      <c r="Q60" s="26"/>
    </row>
    <row r="61" spans="2:17" ht="13.5" x14ac:dyDescent="0.25">
      <c r="B61" s="27" t="s">
        <v>56</v>
      </c>
      <c r="C61" s="26"/>
      <c r="D61" s="77"/>
      <c r="E61" s="88">
        <f t="shared" si="14"/>
        <v>0</v>
      </c>
      <c r="F61" s="79"/>
      <c r="G61" s="26"/>
      <c r="H61" s="77"/>
      <c r="I61" s="88">
        <f t="shared" si="15"/>
        <v>0</v>
      </c>
      <c r="J61" s="89"/>
      <c r="K61" s="26"/>
      <c r="L61" s="77"/>
      <c r="M61" s="88">
        <f t="shared" si="16"/>
        <v>0</v>
      </c>
      <c r="N61" s="79"/>
      <c r="O61" s="26"/>
      <c r="P61" s="80">
        <f t="shared" si="17"/>
        <v>0</v>
      </c>
      <c r="Q61" s="26"/>
    </row>
    <row r="62" spans="2:17" ht="13.5" x14ac:dyDescent="0.25">
      <c r="B62" s="27" t="s">
        <v>57</v>
      </c>
      <c r="C62" s="26"/>
      <c r="D62" s="77"/>
      <c r="E62" s="88">
        <f t="shared" si="14"/>
        <v>0</v>
      </c>
      <c r="F62" s="79"/>
      <c r="G62" s="26"/>
      <c r="H62" s="77"/>
      <c r="I62" s="88">
        <f t="shared" si="15"/>
        <v>0</v>
      </c>
      <c r="J62" s="89"/>
      <c r="K62" s="26"/>
      <c r="L62" s="77"/>
      <c r="M62" s="88">
        <f t="shared" si="16"/>
        <v>0</v>
      </c>
      <c r="N62" s="79"/>
      <c r="O62" s="26"/>
      <c r="P62" s="80">
        <f t="shared" si="17"/>
        <v>0</v>
      </c>
      <c r="Q62" s="26"/>
    </row>
    <row r="63" spans="2:17" ht="13.5" x14ac:dyDescent="0.25">
      <c r="B63" s="27" t="s">
        <v>58</v>
      </c>
      <c r="C63" s="26"/>
      <c r="D63" s="77"/>
      <c r="E63" s="88">
        <f t="shared" si="14"/>
        <v>0</v>
      </c>
      <c r="F63" s="79"/>
      <c r="G63" s="26"/>
      <c r="H63" s="77"/>
      <c r="I63" s="88">
        <f t="shared" si="15"/>
        <v>0</v>
      </c>
      <c r="J63" s="89"/>
      <c r="K63" s="26"/>
      <c r="L63" s="77"/>
      <c r="M63" s="88">
        <f t="shared" si="16"/>
        <v>0</v>
      </c>
      <c r="N63" s="79"/>
      <c r="O63" s="26"/>
      <c r="P63" s="80">
        <f t="shared" si="17"/>
        <v>0</v>
      </c>
      <c r="Q63" s="26"/>
    </row>
    <row r="64" spans="2:17" ht="13.5" x14ac:dyDescent="0.25">
      <c r="B64" s="27" t="s">
        <v>59</v>
      </c>
      <c r="C64" s="26"/>
      <c r="D64" s="77"/>
      <c r="E64" s="88">
        <f t="shared" si="14"/>
        <v>0</v>
      </c>
      <c r="F64" s="79"/>
      <c r="G64" s="26"/>
      <c r="H64" s="77"/>
      <c r="I64" s="88">
        <f t="shared" si="15"/>
        <v>0</v>
      </c>
      <c r="J64" s="89"/>
      <c r="K64" s="26"/>
      <c r="L64" s="77"/>
      <c r="M64" s="88">
        <f t="shared" si="16"/>
        <v>0</v>
      </c>
      <c r="N64" s="79"/>
      <c r="O64" s="26"/>
      <c r="P64" s="80">
        <f t="shared" si="17"/>
        <v>0</v>
      </c>
      <c r="Q64" s="26"/>
    </row>
    <row r="65" spans="2:17" ht="13.5" x14ac:dyDescent="0.25">
      <c r="B65" s="27" t="s">
        <v>60</v>
      </c>
      <c r="C65" s="26"/>
      <c r="D65" s="77"/>
      <c r="E65" s="88">
        <f t="shared" si="14"/>
        <v>0</v>
      </c>
      <c r="F65" s="79"/>
      <c r="G65" s="26"/>
      <c r="H65" s="77"/>
      <c r="I65" s="88">
        <f t="shared" si="15"/>
        <v>0</v>
      </c>
      <c r="J65" s="89"/>
      <c r="K65" s="26"/>
      <c r="L65" s="77"/>
      <c r="M65" s="88">
        <f t="shared" si="16"/>
        <v>0</v>
      </c>
      <c r="N65" s="79"/>
      <c r="O65" s="26"/>
      <c r="P65" s="80">
        <f t="shared" si="17"/>
        <v>0</v>
      </c>
      <c r="Q65" s="26"/>
    </row>
    <row r="66" spans="2:17" ht="13.5" x14ac:dyDescent="0.25">
      <c r="B66" s="27" t="s">
        <v>61</v>
      </c>
      <c r="C66" s="26"/>
      <c r="D66" s="77"/>
      <c r="E66" s="88">
        <f t="shared" si="14"/>
        <v>0</v>
      </c>
      <c r="F66" s="79"/>
      <c r="G66" s="26"/>
      <c r="H66" s="77"/>
      <c r="I66" s="88">
        <f t="shared" si="15"/>
        <v>0</v>
      </c>
      <c r="J66" s="89"/>
      <c r="K66" s="26"/>
      <c r="L66" s="77"/>
      <c r="M66" s="88">
        <f t="shared" si="16"/>
        <v>0</v>
      </c>
      <c r="N66" s="79"/>
      <c r="O66" s="26"/>
      <c r="P66" s="80">
        <f t="shared" si="17"/>
        <v>0</v>
      </c>
      <c r="Q66" s="26"/>
    </row>
    <row r="67" spans="2:17" ht="13.5" x14ac:dyDescent="0.25">
      <c r="B67" s="27" t="s">
        <v>62</v>
      </c>
      <c r="C67" s="26"/>
      <c r="D67" s="77"/>
      <c r="E67" s="88">
        <f t="shared" si="14"/>
        <v>0</v>
      </c>
      <c r="F67" s="79"/>
      <c r="G67" s="26"/>
      <c r="H67" s="77"/>
      <c r="I67" s="88">
        <f t="shared" si="15"/>
        <v>0</v>
      </c>
      <c r="J67" s="89"/>
      <c r="K67" s="26"/>
      <c r="L67" s="77"/>
      <c r="M67" s="88">
        <f t="shared" si="16"/>
        <v>0</v>
      </c>
      <c r="N67" s="79"/>
      <c r="O67" s="26"/>
      <c r="P67" s="80">
        <f t="shared" si="17"/>
        <v>0</v>
      </c>
      <c r="Q67" s="26"/>
    </row>
    <row r="68" spans="2:17" ht="13.5" x14ac:dyDescent="0.25">
      <c r="B68" s="27" t="s">
        <v>63</v>
      </c>
      <c r="C68" s="26"/>
      <c r="D68" s="77"/>
      <c r="E68" s="88">
        <f t="shared" si="14"/>
        <v>0</v>
      </c>
      <c r="F68" s="79"/>
      <c r="G68" s="26"/>
      <c r="H68" s="77"/>
      <c r="I68" s="88">
        <f t="shared" si="15"/>
        <v>0</v>
      </c>
      <c r="J68" s="89"/>
      <c r="K68" s="26"/>
      <c r="L68" s="77"/>
      <c r="M68" s="88">
        <f t="shared" si="16"/>
        <v>0</v>
      </c>
      <c r="N68" s="79"/>
      <c r="O68" s="26"/>
      <c r="P68" s="80">
        <f t="shared" si="17"/>
        <v>0</v>
      </c>
      <c r="Q68" s="26"/>
    </row>
    <row r="69" spans="2:17" x14ac:dyDescent="0.2">
      <c r="B69" s="26"/>
      <c r="C69" s="26"/>
      <c r="D69" s="26"/>
      <c r="E69" s="26"/>
      <c r="F69" s="26"/>
      <c r="G69" s="26"/>
      <c r="H69" s="26"/>
      <c r="I69" s="26"/>
      <c r="J69" s="26"/>
      <c r="K69" s="26"/>
      <c r="L69" s="26"/>
      <c r="M69" s="26"/>
      <c r="N69" s="26"/>
      <c r="O69" s="26"/>
      <c r="P69" s="26"/>
      <c r="Q69" s="26"/>
    </row>
    <row r="70" spans="2:17" ht="13.5" thickBot="1" x14ac:dyDescent="0.25">
      <c r="B70" s="74" t="s">
        <v>3</v>
      </c>
      <c r="C70" s="26"/>
      <c r="D70" s="81">
        <f>SUM(D57:D68)</f>
        <v>0</v>
      </c>
      <c r="E70" s="82">
        <f>IF(D70&lt;&gt;0,F70/D70,0)</f>
        <v>0</v>
      </c>
      <c r="F70" s="83">
        <f>SUM(F57:F68)</f>
        <v>0</v>
      </c>
      <c r="G70" s="26"/>
      <c r="H70" s="81">
        <f>SUM(H57:H68)</f>
        <v>0</v>
      </c>
      <c r="I70" s="82">
        <f>IF(H70&lt;&gt;0,J70/H70,0)</f>
        <v>0</v>
      </c>
      <c r="J70" s="83">
        <f>SUM(J57:J68)</f>
        <v>0</v>
      </c>
      <c r="K70" s="26"/>
      <c r="L70" s="81">
        <f>SUM(L57:L68)</f>
        <v>0</v>
      </c>
      <c r="M70" s="82">
        <f>IF(L70&lt;&gt;0,N70/L70,0)</f>
        <v>0</v>
      </c>
      <c r="N70" s="83">
        <f>SUM(N57:N68)</f>
        <v>0</v>
      </c>
      <c r="O70" s="26"/>
      <c r="P70" s="83">
        <f>SUM(P57:P68)</f>
        <v>0</v>
      </c>
      <c r="Q70" s="26"/>
    </row>
    <row r="71" spans="2:17" x14ac:dyDescent="0.2">
      <c r="B71" s="26"/>
      <c r="C71" s="26"/>
      <c r="D71" s="26"/>
      <c r="E71" s="26"/>
      <c r="F71" s="26"/>
      <c r="G71" s="26"/>
      <c r="H71" s="26"/>
      <c r="I71" s="26"/>
      <c r="J71" s="26"/>
      <c r="K71" s="26"/>
      <c r="L71" s="26"/>
      <c r="M71" s="26"/>
      <c r="N71" s="26"/>
      <c r="O71" s="26"/>
      <c r="P71" s="26"/>
      <c r="Q71" s="26"/>
    </row>
    <row r="72" spans="2:17" x14ac:dyDescent="0.2">
      <c r="B72" s="86" t="s">
        <v>67</v>
      </c>
      <c r="C72" s="72"/>
      <c r="D72" s="240" t="s">
        <v>0</v>
      </c>
      <c r="E72" s="240"/>
      <c r="F72" s="240"/>
      <c r="G72" s="72"/>
      <c r="H72" s="240" t="s">
        <v>1</v>
      </c>
      <c r="I72" s="240"/>
      <c r="J72" s="240"/>
      <c r="K72" s="72"/>
      <c r="L72" s="240" t="s">
        <v>2</v>
      </c>
      <c r="M72" s="240"/>
      <c r="N72" s="240"/>
      <c r="O72" s="72"/>
      <c r="P72" s="71" t="s">
        <v>48</v>
      </c>
      <c r="Q72" s="26"/>
    </row>
    <row r="73" spans="2:17" ht="15" x14ac:dyDescent="0.3">
      <c r="B73" s="87" t="s">
        <v>66</v>
      </c>
      <c r="C73" s="75"/>
      <c r="D73" s="76"/>
      <c r="E73" s="76"/>
      <c r="F73" s="76"/>
      <c r="G73" s="75"/>
      <c r="H73" s="76"/>
      <c r="I73" s="76"/>
      <c r="J73" s="76"/>
      <c r="K73" s="75"/>
      <c r="L73" s="76"/>
      <c r="M73" s="76"/>
      <c r="N73" s="76"/>
      <c r="O73" s="75"/>
      <c r="P73" s="76"/>
      <c r="Q73" s="26"/>
    </row>
    <row r="74" spans="2:17" ht="15" x14ac:dyDescent="0.3">
      <c r="B74" s="74" t="s">
        <v>49</v>
      </c>
      <c r="C74" s="75"/>
      <c r="D74" s="76" t="s">
        <v>50</v>
      </c>
      <c r="E74" s="76" t="s">
        <v>9</v>
      </c>
      <c r="F74" s="76" t="s">
        <v>51</v>
      </c>
      <c r="G74" s="75"/>
      <c r="H74" s="76" t="s">
        <v>50</v>
      </c>
      <c r="I74" s="76" t="s">
        <v>9</v>
      </c>
      <c r="J74" s="76" t="s">
        <v>51</v>
      </c>
      <c r="K74" s="75"/>
      <c r="L74" s="76" t="s">
        <v>50</v>
      </c>
      <c r="M74" s="76" t="s">
        <v>9</v>
      </c>
      <c r="N74" s="76" t="s">
        <v>51</v>
      </c>
      <c r="O74" s="75"/>
      <c r="P74" s="76" t="s">
        <v>51</v>
      </c>
      <c r="Q74" s="26"/>
    </row>
    <row r="75" spans="2:17" x14ac:dyDescent="0.2">
      <c r="B75" s="26"/>
      <c r="C75" s="26"/>
      <c r="D75" s="26"/>
      <c r="E75" s="26"/>
      <c r="F75" s="26"/>
      <c r="G75" s="26"/>
      <c r="H75" s="26"/>
      <c r="I75" s="26"/>
      <c r="J75" s="26"/>
      <c r="K75" s="26"/>
      <c r="L75" s="26"/>
      <c r="M75" s="26"/>
      <c r="N75" s="26"/>
      <c r="O75" s="26"/>
      <c r="P75" s="26"/>
      <c r="Q75" s="26"/>
    </row>
    <row r="76" spans="2:17" ht="13.5" x14ac:dyDescent="0.25">
      <c r="B76" s="27" t="s">
        <v>52</v>
      </c>
      <c r="C76" s="26"/>
      <c r="D76" s="77"/>
      <c r="E76" s="88">
        <f t="shared" ref="E76:E87" si="18">IF(D76&lt;&gt;0,F76/D76,0)</f>
        <v>0</v>
      </c>
      <c r="F76" s="79"/>
      <c r="G76" s="26"/>
      <c r="H76" s="77"/>
      <c r="I76" s="88">
        <f t="shared" ref="I76:I87" si="19">IF(H76&lt;&gt;0,J76/H76,0)</f>
        <v>0</v>
      </c>
      <c r="J76" s="89"/>
      <c r="K76" s="26"/>
      <c r="L76" s="77"/>
      <c r="M76" s="88">
        <f t="shared" ref="M76:M87" si="20">IF(L76&lt;&gt;0,N76/L76,0)</f>
        <v>0</v>
      </c>
      <c r="N76" s="79"/>
      <c r="O76" s="26"/>
      <c r="P76" s="80">
        <f t="shared" ref="P76:P87" si="21">J76+N76</f>
        <v>0</v>
      </c>
      <c r="Q76" s="26"/>
    </row>
    <row r="77" spans="2:17" ht="13.5" x14ac:dyDescent="0.25">
      <c r="B77" s="27" t="s">
        <v>53</v>
      </c>
      <c r="C77" s="26"/>
      <c r="D77" s="77"/>
      <c r="E77" s="88">
        <f t="shared" si="18"/>
        <v>0</v>
      </c>
      <c r="F77" s="79"/>
      <c r="G77" s="26"/>
      <c r="H77" s="77"/>
      <c r="I77" s="88">
        <f t="shared" si="19"/>
        <v>0</v>
      </c>
      <c r="J77" s="89"/>
      <c r="K77" s="26"/>
      <c r="L77" s="77"/>
      <c r="M77" s="88">
        <f t="shared" si="20"/>
        <v>0</v>
      </c>
      <c r="N77" s="79"/>
      <c r="O77" s="26"/>
      <c r="P77" s="80">
        <f t="shared" si="21"/>
        <v>0</v>
      </c>
      <c r="Q77" s="26"/>
    </row>
    <row r="78" spans="2:17" ht="13.5" x14ac:dyDescent="0.25">
      <c r="B78" s="27" t="s">
        <v>54</v>
      </c>
      <c r="C78" s="26"/>
      <c r="D78" s="77"/>
      <c r="E78" s="88">
        <f t="shared" si="18"/>
        <v>0</v>
      </c>
      <c r="F78" s="79"/>
      <c r="G78" s="26"/>
      <c r="H78" s="77"/>
      <c r="I78" s="88">
        <f t="shared" si="19"/>
        <v>0</v>
      </c>
      <c r="J78" s="89"/>
      <c r="K78" s="26"/>
      <c r="L78" s="77"/>
      <c r="M78" s="88">
        <f t="shared" si="20"/>
        <v>0</v>
      </c>
      <c r="N78" s="79"/>
      <c r="O78" s="26"/>
      <c r="P78" s="80">
        <f t="shared" si="21"/>
        <v>0</v>
      </c>
      <c r="Q78" s="26"/>
    </row>
    <row r="79" spans="2:17" ht="13.5" x14ac:dyDescent="0.25">
      <c r="B79" s="27" t="s">
        <v>55</v>
      </c>
      <c r="C79" s="26"/>
      <c r="D79" s="77"/>
      <c r="E79" s="88">
        <f t="shared" si="18"/>
        <v>0</v>
      </c>
      <c r="F79" s="79"/>
      <c r="G79" s="26"/>
      <c r="H79" s="77"/>
      <c r="I79" s="88">
        <f t="shared" si="19"/>
        <v>0</v>
      </c>
      <c r="J79" s="89"/>
      <c r="K79" s="26"/>
      <c r="L79" s="77"/>
      <c r="M79" s="88">
        <f t="shared" si="20"/>
        <v>0</v>
      </c>
      <c r="N79" s="79"/>
      <c r="O79" s="26"/>
      <c r="P79" s="80">
        <f t="shared" si="21"/>
        <v>0</v>
      </c>
      <c r="Q79" s="26"/>
    </row>
    <row r="80" spans="2:17" ht="13.5" x14ac:dyDescent="0.25">
      <c r="B80" s="27" t="s">
        <v>56</v>
      </c>
      <c r="C80" s="26"/>
      <c r="D80" s="77"/>
      <c r="E80" s="88">
        <f t="shared" si="18"/>
        <v>0</v>
      </c>
      <c r="F80" s="79"/>
      <c r="G80" s="26"/>
      <c r="H80" s="77"/>
      <c r="I80" s="88">
        <f t="shared" si="19"/>
        <v>0</v>
      </c>
      <c r="J80" s="89"/>
      <c r="K80" s="26"/>
      <c r="L80" s="77"/>
      <c r="M80" s="88">
        <f t="shared" si="20"/>
        <v>0</v>
      </c>
      <c r="N80" s="79"/>
      <c r="O80" s="26"/>
      <c r="P80" s="80">
        <f t="shared" si="21"/>
        <v>0</v>
      </c>
      <c r="Q80" s="26"/>
    </row>
    <row r="81" spans="2:17" ht="13.5" x14ac:dyDescent="0.25">
      <c r="B81" s="27" t="s">
        <v>57</v>
      </c>
      <c r="C81" s="26"/>
      <c r="D81" s="77"/>
      <c r="E81" s="88">
        <f t="shared" si="18"/>
        <v>0</v>
      </c>
      <c r="F81" s="79"/>
      <c r="G81" s="26"/>
      <c r="H81" s="77"/>
      <c r="I81" s="88">
        <f t="shared" si="19"/>
        <v>0</v>
      </c>
      <c r="J81" s="89"/>
      <c r="K81" s="26"/>
      <c r="L81" s="77"/>
      <c r="M81" s="88">
        <f t="shared" si="20"/>
        <v>0</v>
      </c>
      <c r="N81" s="79"/>
      <c r="O81" s="26"/>
      <c r="P81" s="80">
        <f t="shared" si="21"/>
        <v>0</v>
      </c>
      <c r="Q81" s="26"/>
    </row>
    <row r="82" spans="2:17" ht="13.5" x14ac:dyDescent="0.25">
      <c r="B82" s="27" t="s">
        <v>58</v>
      </c>
      <c r="C82" s="26"/>
      <c r="D82" s="77"/>
      <c r="E82" s="88">
        <f t="shared" si="18"/>
        <v>0</v>
      </c>
      <c r="F82" s="79"/>
      <c r="G82" s="26"/>
      <c r="H82" s="77"/>
      <c r="I82" s="88">
        <f t="shared" si="19"/>
        <v>0</v>
      </c>
      <c r="J82" s="89"/>
      <c r="K82" s="26"/>
      <c r="L82" s="77"/>
      <c r="M82" s="88">
        <f t="shared" si="20"/>
        <v>0</v>
      </c>
      <c r="N82" s="79"/>
      <c r="O82" s="26"/>
      <c r="P82" s="80">
        <f t="shared" si="21"/>
        <v>0</v>
      </c>
      <c r="Q82" s="26"/>
    </row>
    <row r="83" spans="2:17" ht="13.5" x14ac:dyDescent="0.25">
      <c r="B83" s="27" t="s">
        <v>59</v>
      </c>
      <c r="C83" s="26"/>
      <c r="D83" s="77"/>
      <c r="E83" s="88">
        <f t="shared" si="18"/>
        <v>0</v>
      </c>
      <c r="F83" s="79"/>
      <c r="G83" s="26"/>
      <c r="H83" s="77"/>
      <c r="I83" s="88">
        <f t="shared" si="19"/>
        <v>0</v>
      </c>
      <c r="J83" s="89"/>
      <c r="K83" s="26"/>
      <c r="L83" s="77"/>
      <c r="M83" s="88">
        <f t="shared" si="20"/>
        <v>0</v>
      </c>
      <c r="N83" s="79"/>
      <c r="O83" s="26"/>
      <c r="P83" s="80">
        <f t="shared" si="21"/>
        <v>0</v>
      </c>
      <c r="Q83" s="26"/>
    </row>
    <row r="84" spans="2:17" ht="13.5" x14ac:dyDescent="0.25">
      <c r="B84" s="27" t="s">
        <v>60</v>
      </c>
      <c r="C84" s="26"/>
      <c r="D84" s="77"/>
      <c r="E84" s="88">
        <f t="shared" si="18"/>
        <v>0</v>
      </c>
      <c r="F84" s="79"/>
      <c r="G84" s="26"/>
      <c r="H84" s="77"/>
      <c r="I84" s="88">
        <f t="shared" si="19"/>
        <v>0</v>
      </c>
      <c r="J84" s="89"/>
      <c r="K84" s="26"/>
      <c r="L84" s="77"/>
      <c r="M84" s="88">
        <f t="shared" si="20"/>
        <v>0</v>
      </c>
      <c r="N84" s="79"/>
      <c r="O84" s="26"/>
      <c r="P84" s="80">
        <f t="shared" si="21"/>
        <v>0</v>
      </c>
      <c r="Q84" s="26"/>
    </row>
    <row r="85" spans="2:17" ht="13.5" x14ac:dyDescent="0.25">
      <c r="B85" s="27" t="s">
        <v>61</v>
      </c>
      <c r="C85" s="26"/>
      <c r="D85" s="77"/>
      <c r="E85" s="88">
        <f t="shared" si="18"/>
        <v>0</v>
      </c>
      <c r="F85" s="79"/>
      <c r="G85" s="26"/>
      <c r="H85" s="77"/>
      <c r="I85" s="88">
        <f t="shared" si="19"/>
        <v>0</v>
      </c>
      <c r="J85" s="89"/>
      <c r="K85" s="26"/>
      <c r="L85" s="77"/>
      <c r="M85" s="88">
        <f t="shared" si="20"/>
        <v>0</v>
      </c>
      <c r="N85" s="79"/>
      <c r="O85" s="26"/>
      <c r="P85" s="80">
        <f t="shared" si="21"/>
        <v>0</v>
      </c>
      <c r="Q85" s="26"/>
    </row>
    <row r="86" spans="2:17" ht="13.5" x14ac:dyDescent="0.25">
      <c r="B86" s="27" t="s">
        <v>62</v>
      </c>
      <c r="C86" s="26"/>
      <c r="D86" s="77"/>
      <c r="E86" s="88">
        <f t="shared" si="18"/>
        <v>0</v>
      </c>
      <c r="F86" s="79"/>
      <c r="G86" s="26"/>
      <c r="H86" s="77"/>
      <c r="I86" s="88">
        <f t="shared" si="19"/>
        <v>0</v>
      </c>
      <c r="J86" s="89"/>
      <c r="K86" s="26"/>
      <c r="L86" s="77"/>
      <c r="M86" s="88">
        <f t="shared" si="20"/>
        <v>0</v>
      </c>
      <c r="N86" s="79"/>
      <c r="O86" s="26"/>
      <c r="P86" s="80">
        <f t="shared" si="21"/>
        <v>0</v>
      </c>
      <c r="Q86" s="26"/>
    </row>
    <row r="87" spans="2:17" ht="13.5" x14ac:dyDescent="0.25">
      <c r="B87" s="27" t="s">
        <v>63</v>
      </c>
      <c r="C87" s="26"/>
      <c r="D87" s="77"/>
      <c r="E87" s="88">
        <f t="shared" si="18"/>
        <v>0</v>
      </c>
      <c r="F87" s="79"/>
      <c r="G87" s="26"/>
      <c r="H87" s="77"/>
      <c r="I87" s="88">
        <f t="shared" si="19"/>
        <v>0</v>
      </c>
      <c r="J87" s="89"/>
      <c r="K87" s="26"/>
      <c r="L87" s="77"/>
      <c r="M87" s="88">
        <f t="shared" si="20"/>
        <v>0</v>
      </c>
      <c r="N87" s="79"/>
      <c r="O87" s="26"/>
      <c r="P87" s="80">
        <f t="shared" si="21"/>
        <v>0</v>
      </c>
      <c r="Q87" s="26"/>
    </row>
    <row r="88" spans="2:17" x14ac:dyDescent="0.2">
      <c r="B88" s="26"/>
      <c r="C88" s="26"/>
      <c r="D88" s="26"/>
      <c r="E88" s="26"/>
      <c r="F88" s="26"/>
      <c r="G88" s="26"/>
      <c r="H88" s="26"/>
      <c r="I88" s="26"/>
      <c r="J88" s="26"/>
      <c r="K88" s="26"/>
      <c r="L88" s="26"/>
      <c r="M88" s="26"/>
      <c r="N88" s="26"/>
      <c r="O88" s="26"/>
      <c r="P88" s="26"/>
      <c r="Q88" s="26"/>
    </row>
    <row r="89" spans="2:17" ht="13.5" thickBot="1" x14ac:dyDescent="0.25">
      <c r="B89" s="74" t="s">
        <v>3</v>
      </c>
      <c r="C89" s="26"/>
      <c r="D89" s="81">
        <f>SUM(D76:D87)</f>
        <v>0</v>
      </c>
      <c r="E89" s="82">
        <f>IF(D89&lt;&gt;0,F89/D89,0)</f>
        <v>0</v>
      </c>
      <c r="F89" s="83">
        <f>SUM(F76:F87)</f>
        <v>0</v>
      </c>
      <c r="G89" s="26"/>
      <c r="H89" s="81">
        <f>SUM(H76:H87)</f>
        <v>0</v>
      </c>
      <c r="I89" s="82">
        <f>IF(H89&lt;&gt;0,J89/H89,0)</f>
        <v>0</v>
      </c>
      <c r="J89" s="83">
        <f>SUM(J76:J87)</f>
        <v>0</v>
      </c>
      <c r="K89" s="26"/>
      <c r="L89" s="81">
        <f>SUM(L76:L87)</f>
        <v>0</v>
      </c>
      <c r="M89" s="82">
        <f>IF(L89&lt;&gt;0,N89/L89,0)</f>
        <v>0</v>
      </c>
      <c r="N89" s="83">
        <f>SUM(N76:N87)</f>
        <v>0</v>
      </c>
      <c r="O89" s="26"/>
      <c r="P89" s="83">
        <f>SUM(P76:P87)</f>
        <v>0</v>
      </c>
      <c r="Q89" s="26"/>
    </row>
    <row r="90" spans="2:17" x14ac:dyDescent="0.2">
      <c r="B90" s="26"/>
      <c r="C90" s="26"/>
      <c r="D90" s="26"/>
      <c r="E90" s="26"/>
      <c r="F90" s="26"/>
      <c r="G90" s="26"/>
      <c r="H90" s="26"/>
      <c r="I90" s="26"/>
      <c r="J90" s="26"/>
      <c r="K90" s="26"/>
      <c r="L90" s="26"/>
      <c r="M90" s="26"/>
      <c r="N90" s="26"/>
      <c r="O90" s="26"/>
      <c r="P90" s="26"/>
      <c r="Q90" s="26"/>
    </row>
    <row r="91" spans="2:17" x14ac:dyDescent="0.2">
      <c r="B91" s="71" t="s">
        <v>3</v>
      </c>
      <c r="C91" s="72"/>
      <c r="D91" s="240" t="s">
        <v>0</v>
      </c>
      <c r="E91" s="240"/>
      <c r="F91" s="240"/>
      <c r="G91" s="72"/>
      <c r="H91" s="240" t="s">
        <v>1</v>
      </c>
      <c r="I91" s="240"/>
      <c r="J91" s="240"/>
      <c r="K91" s="72"/>
      <c r="L91" s="240" t="s">
        <v>2</v>
      </c>
      <c r="M91" s="240"/>
      <c r="N91" s="240"/>
      <c r="O91" s="72"/>
      <c r="P91" s="71" t="s">
        <v>48</v>
      </c>
      <c r="Q91" s="26"/>
    </row>
    <row r="92" spans="2:17" x14ac:dyDescent="0.2">
      <c r="B92" s="26"/>
      <c r="C92" s="26"/>
      <c r="D92" s="241"/>
      <c r="E92" s="241"/>
      <c r="F92" s="241"/>
      <c r="G92" s="26"/>
      <c r="H92" s="241"/>
      <c r="I92" s="241"/>
      <c r="J92" s="241"/>
      <c r="K92" s="26"/>
      <c r="L92" s="241"/>
      <c r="M92" s="241"/>
      <c r="N92" s="241"/>
      <c r="O92" s="26"/>
      <c r="P92" s="90"/>
      <c r="Q92" s="26"/>
    </row>
    <row r="93" spans="2:17" ht="15" x14ac:dyDescent="0.3">
      <c r="B93" s="74" t="s">
        <v>49</v>
      </c>
      <c r="C93" s="26"/>
      <c r="D93" s="76" t="s">
        <v>50</v>
      </c>
      <c r="E93" s="76" t="s">
        <v>9</v>
      </c>
      <c r="F93" s="76" t="s">
        <v>51</v>
      </c>
      <c r="G93" s="75"/>
      <c r="H93" s="76" t="s">
        <v>50</v>
      </c>
      <c r="I93" s="76" t="s">
        <v>9</v>
      </c>
      <c r="J93" s="76" t="s">
        <v>51</v>
      </c>
      <c r="K93" s="75"/>
      <c r="L93" s="76" t="s">
        <v>50</v>
      </c>
      <c r="M93" s="76" t="s">
        <v>9</v>
      </c>
      <c r="N93" s="76" t="s">
        <v>51</v>
      </c>
      <c r="O93" s="75"/>
      <c r="P93" s="76" t="s">
        <v>51</v>
      </c>
      <c r="Q93" s="26"/>
    </row>
    <row r="94" spans="2:17" x14ac:dyDescent="0.2">
      <c r="B94" s="26"/>
      <c r="C94" s="26"/>
      <c r="D94" s="26"/>
      <c r="E94" s="26"/>
      <c r="F94" s="26"/>
      <c r="G94" s="26"/>
      <c r="H94" s="26"/>
      <c r="I94" s="26"/>
      <c r="J94" s="26"/>
      <c r="K94" s="26"/>
      <c r="L94" s="26"/>
      <c r="M94" s="26"/>
      <c r="N94" s="26"/>
      <c r="O94" s="26"/>
      <c r="P94" s="26"/>
      <c r="Q94" s="26"/>
    </row>
    <row r="95" spans="2:17" x14ac:dyDescent="0.2">
      <c r="B95" s="27" t="s">
        <v>52</v>
      </c>
      <c r="C95" s="26"/>
      <c r="D95" s="91">
        <f>D19+D38+D57+D76</f>
        <v>578423.19999999995</v>
      </c>
      <c r="E95" s="92">
        <f t="shared" ref="E95:E106" si="22">IF(D95&lt;&gt;0,F95/D95,0)</f>
        <v>5.9609313446625247</v>
      </c>
      <c r="F95" s="80">
        <f>F19+F38+F57+F76</f>
        <v>3447940.98336</v>
      </c>
      <c r="G95" s="26"/>
      <c r="H95" s="91">
        <f>H19+H38+H57+H76</f>
        <v>405071.04000000004</v>
      </c>
      <c r="I95" s="92">
        <f t="shared" ref="I95:I106" si="23">IF(H95&lt;&gt;0,J95/H95,0)</f>
        <v>0.83328760016020897</v>
      </c>
      <c r="J95" s="80">
        <f>J19+J38+J57+J76</f>
        <v>337540.67481600004</v>
      </c>
      <c r="K95" s="26"/>
      <c r="L95" s="91">
        <f>L19+L38+L57+L76</f>
        <v>613226.30000000005</v>
      </c>
      <c r="M95" s="92">
        <f t="shared" ref="M95:M106" si="24">IF(L95&lt;&gt;0,N95/L95,0)</f>
        <v>3.5193833586719943</v>
      </c>
      <c r="N95" s="80">
        <f>N19+N38+N57+N76</f>
        <v>2158178.4353200002</v>
      </c>
      <c r="O95" s="26"/>
      <c r="P95" s="80">
        <f t="shared" ref="P95:P106" si="25">J95+N95</f>
        <v>2495719.1101360004</v>
      </c>
      <c r="Q95" s="26"/>
    </row>
    <row r="96" spans="2:17" x14ac:dyDescent="0.2">
      <c r="B96" s="27" t="s">
        <v>53</v>
      </c>
      <c r="C96" s="26"/>
      <c r="D96" s="91">
        <f t="shared" ref="D96:D106" si="26">D20+D39+D58+D77</f>
        <v>572734.28</v>
      </c>
      <c r="E96" s="92">
        <f t="shared" si="22"/>
        <v>5.9564943768059422</v>
      </c>
      <c r="F96" s="80">
        <f t="shared" ref="F96:F106" si="27">F20+F39+F58+F77</f>
        <v>3411488.518224</v>
      </c>
      <c r="G96" s="26"/>
      <c r="H96" s="91">
        <f t="shared" ref="H96:H106" si="28">H20+H39+H58+H77</f>
        <v>392725.24</v>
      </c>
      <c r="I96" s="92">
        <f t="shared" si="23"/>
        <v>0.84394082360481848</v>
      </c>
      <c r="J96" s="80">
        <f t="shared" ref="J96:J106" si="29">J20+J39+J58+J77</f>
        <v>331436.86249600002</v>
      </c>
      <c r="K96" s="26"/>
      <c r="L96" s="91">
        <f t="shared" ref="L96:L106" si="30">L20+L39+L58+L77</f>
        <v>593111.71</v>
      </c>
      <c r="M96" s="92">
        <f t="shared" si="24"/>
        <v>3.5187199963460509</v>
      </c>
      <c r="N96" s="80">
        <f t="shared" ref="N96:N106" si="31">N20+N39+N58+N77</f>
        <v>2086994.0340439999</v>
      </c>
      <c r="O96" s="26"/>
      <c r="P96" s="80">
        <f t="shared" si="25"/>
        <v>2418430.8965400001</v>
      </c>
      <c r="Q96" s="26"/>
    </row>
    <row r="97" spans="2:17" x14ac:dyDescent="0.2">
      <c r="B97" s="27" t="s">
        <v>54</v>
      </c>
      <c r="C97" s="26"/>
      <c r="D97" s="91">
        <f t="shared" si="26"/>
        <v>524979.39</v>
      </c>
      <c r="E97" s="92">
        <f t="shared" si="22"/>
        <v>5.9920418796097881</v>
      </c>
      <c r="F97" s="80">
        <f t="shared" si="27"/>
        <v>3145698.4908119999</v>
      </c>
      <c r="G97" s="26"/>
      <c r="H97" s="91">
        <f t="shared" si="28"/>
        <v>354132.5</v>
      </c>
      <c r="I97" s="92">
        <f t="shared" si="23"/>
        <v>0.85231637113227388</v>
      </c>
      <c r="J97" s="80">
        <f t="shared" si="29"/>
        <v>301832.92729999998</v>
      </c>
      <c r="K97" s="26"/>
      <c r="L97" s="91">
        <f t="shared" si="30"/>
        <v>537623.66</v>
      </c>
      <c r="M97" s="92">
        <f t="shared" si="24"/>
        <v>3.5158053334631885</v>
      </c>
      <c r="N97" s="80">
        <f t="shared" si="31"/>
        <v>1890180.1312239999</v>
      </c>
      <c r="O97" s="26"/>
      <c r="P97" s="80">
        <f t="shared" si="25"/>
        <v>2192013.058524</v>
      </c>
      <c r="Q97" s="26"/>
    </row>
    <row r="98" spans="2:17" x14ac:dyDescent="0.2">
      <c r="B98" s="27" t="s">
        <v>55</v>
      </c>
      <c r="C98" s="26"/>
      <c r="D98" s="91">
        <f t="shared" si="26"/>
        <v>489679.33</v>
      </c>
      <c r="E98" s="92">
        <f t="shared" si="22"/>
        <v>6.0145568753412553</v>
      </c>
      <c r="F98" s="80">
        <f t="shared" si="27"/>
        <v>2945204.1809639996</v>
      </c>
      <c r="G98" s="26"/>
      <c r="H98" s="91">
        <f t="shared" si="28"/>
        <v>330089.53999999998</v>
      </c>
      <c r="I98" s="92">
        <f t="shared" si="23"/>
        <v>0.85603057981176855</v>
      </c>
      <c r="J98" s="80">
        <f t="shared" si="29"/>
        <v>282566.74031599995</v>
      </c>
      <c r="K98" s="26"/>
      <c r="L98" s="91">
        <f t="shared" si="30"/>
        <v>496064.15</v>
      </c>
      <c r="M98" s="92">
        <f t="shared" si="24"/>
        <v>3.513780758516817</v>
      </c>
      <c r="N98" s="80">
        <f t="shared" si="31"/>
        <v>1743060.6652600002</v>
      </c>
      <c r="O98" s="26"/>
      <c r="P98" s="80">
        <f t="shared" si="25"/>
        <v>2025627.405576</v>
      </c>
      <c r="Q98" s="26"/>
    </row>
    <row r="99" spans="2:17" x14ac:dyDescent="0.2">
      <c r="B99" s="27" t="s">
        <v>56</v>
      </c>
      <c r="C99" s="26"/>
      <c r="D99" s="91">
        <f t="shared" si="26"/>
        <v>589406.6</v>
      </c>
      <c r="E99" s="92">
        <f t="shared" si="22"/>
        <v>6.0255779302098071</v>
      </c>
      <c r="F99" s="80">
        <f t="shared" si="27"/>
        <v>3551515.4008799996</v>
      </c>
      <c r="G99" s="26"/>
      <c r="H99" s="91">
        <f t="shared" si="28"/>
        <v>398384.34</v>
      </c>
      <c r="I99" s="92">
        <f t="shared" si="23"/>
        <v>0.87180314928041591</v>
      </c>
      <c r="J99" s="80">
        <f t="shared" si="29"/>
        <v>347312.722236</v>
      </c>
      <c r="K99" s="26"/>
      <c r="L99" s="91">
        <f t="shared" si="30"/>
        <v>602459.96</v>
      </c>
      <c r="M99" s="92">
        <f t="shared" si="24"/>
        <v>3.5116246731882397</v>
      </c>
      <c r="N99" s="80">
        <f t="shared" si="31"/>
        <v>2115613.2601439999</v>
      </c>
      <c r="O99" s="26"/>
      <c r="P99" s="80">
        <f t="shared" si="25"/>
        <v>2462925.9823799999</v>
      </c>
      <c r="Q99" s="26"/>
    </row>
    <row r="100" spans="2:17" x14ac:dyDescent="0.2">
      <c r="B100" s="27" t="s">
        <v>57</v>
      </c>
      <c r="C100" s="26"/>
      <c r="D100" s="91">
        <f t="shared" si="26"/>
        <v>707413.11</v>
      </c>
      <c r="E100" s="92">
        <f t="shared" si="22"/>
        <v>5.9969393416924381</v>
      </c>
      <c r="F100" s="80">
        <f t="shared" si="27"/>
        <v>4242313.5101880003</v>
      </c>
      <c r="G100" s="26"/>
      <c r="H100" s="91">
        <f t="shared" si="28"/>
        <v>518514.53</v>
      </c>
      <c r="I100" s="92">
        <f t="shared" si="23"/>
        <v>0.8648802440733917</v>
      </c>
      <c r="J100" s="80">
        <f t="shared" si="29"/>
        <v>448452.97326200001</v>
      </c>
      <c r="K100" s="26"/>
      <c r="L100" s="91">
        <f t="shared" si="30"/>
        <v>743253.54</v>
      </c>
      <c r="M100" s="92">
        <f t="shared" si="24"/>
        <v>3.513716705144788</v>
      </c>
      <c r="N100" s="80">
        <f t="shared" si="31"/>
        <v>2611582.3796560001</v>
      </c>
      <c r="O100" s="26"/>
      <c r="P100" s="80">
        <f t="shared" si="25"/>
        <v>3060035.352918</v>
      </c>
      <c r="Q100" s="26"/>
    </row>
    <row r="101" spans="2:17" x14ac:dyDescent="0.2">
      <c r="B101" s="27" t="s">
        <v>58</v>
      </c>
      <c r="C101" s="26"/>
      <c r="D101" s="91">
        <f t="shared" si="26"/>
        <v>730227.22</v>
      </c>
      <c r="E101" s="92">
        <f t="shared" si="22"/>
        <v>6.0284259542885836</v>
      </c>
      <c r="F101" s="80">
        <f t="shared" si="27"/>
        <v>4402120.7255759994</v>
      </c>
      <c r="G101" s="26"/>
      <c r="H101" s="91">
        <f t="shared" si="28"/>
        <v>510798.88</v>
      </c>
      <c r="I101" s="92">
        <f t="shared" si="23"/>
        <v>0.87494858554114285</v>
      </c>
      <c r="J101" s="80">
        <f t="shared" si="29"/>
        <v>446922.757552</v>
      </c>
      <c r="K101" s="26"/>
      <c r="L101" s="91">
        <f t="shared" si="30"/>
        <v>742372.65</v>
      </c>
      <c r="M101" s="92">
        <f t="shared" si="24"/>
        <v>3.511288511854525</v>
      </c>
      <c r="N101" s="80">
        <f t="shared" si="31"/>
        <v>2606684.5574600003</v>
      </c>
      <c r="O101" s="26"/>
      <c r="P101" s="80">
        <f t="shared" si="25"/>
        <v>3053607.3150120005</v>
      </c>
      <c r="Q101" s="26"/>
    </row>
    <row r="102" spans="2:17" x14ac:dyDescent="0.2">
      <c r="B102" s="27" t="s">
        <v>59</v>
      </c>
      <c r="C102" s="26"/>
      <c r="D102" s="91">
        <f t="shared" si="26"/>
        <v>745211.29</v>
      </c>
      <c r="E102" s="92">
        <f t="shared" si="22"/>
        <v>6.0021159471859313</v>
      </c>
      <c r="F102" s="80">
        <f t="shared" si="27"/>
        <v>4472844.5677319998</v>
      </c>
      <c r="G102" s="26"/>
      <c r="H102" s="91">
        <f t="shared" si="28"/>
        <v>496320.9</v>
      </c>
      <c r="I102" s="92">
        <f t="shared" si="23"/>
        <v>0.87460803818658461</v>
      </c>
      <c r="J102" s="80">
        <f t="shared" si="29"/>
        <v>434086.24866000004</v>
      </c>
      <c r="K102" s="26"/>
      <c r="L102" s="91">
        <f t="shared" si="30"/>
        <v>765065.01</v>
      </c>
      <c r="M102" s="92">
        <f t="shared" si="24"/>
        <v>3.5142163620369988</v>
      </c>
      <c r="N102" s="80">
        <f t="shared" si="31"/>
        <v>2688603.9761640001</v>
      </c>
      <c r="O102" s="26"/>
      <c r="P102" s="80">
        <f t="shared" si="25"/>
        <v>3122690.2248240001</v>
      </c>
      <c r="Q102" s="26"/>
    </row>
    <row r="103" spans="2:17" x14ac:dyDescent="0.2">
      <c r="B103" s="27" t="s">
        <v>60</v>
      </c>
      <c r="C103" s="26"/>
      <c r="D103" s="91">
        <f t="shared" si="26"/>
        <v>636707.34</v>
      </c>
      <c r="E103" s="92">
        <f t="shared" si="22"/>
        <v>6.0114095466089648</v>
      </c>
      <c r="F103" s="80">
        <f t="shared" si="27"/>
        <v>3827508.5820719996</v>
      </c>
      <c r="G103" s="26"/>
      <c r="H103" s="91">
        <f t="shared" si="28"/>
        <v>415373.52</v>
      </c>
      <c r="I103" s="92">
        <f t="shared" si="23"/>
        <v>0.87021885027240065</v>
      </c>
      <c r="J103" s="80">
        <f t="shared" si="29"/>
        <v>361465.86700800003</v>
      </c>
      <c r="K103" s="26"/>
      <c r="L103" s="91">
        <f t="shared" si="30"/>
        <v>639096.85</v>
      </c>
      <c r="M103" s="92">
        <f t="shared" si="24"/>
        <v>3.5138907324296778</v>
      </c>
      <c r="N103" s="80">
        <f t="shared" si="31"/>
        <v>2245716.4983399999</v>
      </c>
      <c r="O103" s="26"/>
      <c r="P103" s="80">
        <f t="shared" si="25"/>
        <v>2607182.3653480001</v>
      </c>
      <c r="Q103" s="26"/>
    </row>
    <row r="104" spans="2:17" x14ac:dyDescent="0.2">
      <c r="B104" s="27" t="s">
        <v>61</v>
      </c>
      <c r="C104" s="26"/>
      <c r="D104" s="91">
        <f t="shared" si="26"/>
        <v>527511.18999999994</v>
      </c>
      <c r="E104" s="92">
        <f t="shared" si="22"/>
        <v>6.0052246123006414</v>
      </c>
      <c r="F104" s="80">
        <f t="shared" si="27"/>
        <v>3167823.1814519996</v>
      </c>
      <c r="G104" s="26"/>
      <c r="H104" s="91">
        <f t="shared" si="28"/>
        <v>395963.72</v>
      </c>
      <c r="I104" s="92">
        <f t="shared" si="23"/>
        <v>0.88628434768720732</v>
      </c>
      <c r="J104" s="80">
        <f t="shared" si="29"/>
        <v>350936.44728799997</v>
      </c>
      <c r="K104" s="26"/>
      <c r="L104" s="91">
        <f t="shared" si="30"/>
        <v>544771.9</v>
      </c>
      <c r="M104" s="92">
        <f t="shared" si="24"/>
        <v>3.5136328712255538</v>
      </c>
      <c r="N104" s="80">
        <f t="shared" si="31"/>
        <v>1914128.4551600004</v>
      </c>
      <c r="O104" s="26"/>
      <c r="P104" s="80">
        <f t="shared" si="25"/>
        <v>2265064.9024480004</v>
      </c>
      <c r="Q104" s="26"/>
    </row>
    <row r="105" spans="2:17" x14ac:dyDescent="0.2">
      <c r="B105" s="27" t="s">
        <v>62</v>
      </c>
      <c r="C105" s="26"/>
      <c r="D105" s="91">
        <f t="shared" si="26"/>
        <v>535271.15</v>
      </c>
      <c r="E105" s="92">
        <f t="shared" si="22"/>
        <v>5.9777541879849112</v>
      </c>
      <c r="F105" s="80">
        <f t="shared" si="27"/>
        <v>3199719.3586199996</v>
      </c>
      <c r="G105" s="26"/>
      <c r="H105" s="91">
        <f t="shared" si="28"/>
        <v>362314.13</v>
      </c>
      <c r="I105" s="92">
        <f t="shared" si="23"/>
        <v>0.85566969387034386</v>
      </c>
      <c r="J105" s="80">
        <f t="shared" si="29"/>
        <v>310021.22070199996</v>
      </c>
      <c r="K105" s="26"/>
      <c r="L105" s="91">
        <f t="shared" si="30"/>
        <v>520569.72</v>
      </c>
      <c r="M105" s="92">
        <f t="shared" si="24"/>
        <v>3.5197958317821487</v>
      </c>
      <c r="N105" s="80">
        <f t="shared" si="31"/>
        <v>1832299.1306080001</v>
      </c>
      <c r="O105" s="26"/>
      <c r="P105" s="80">
        <f t="shared" si="25"/>
        <v>2142320.3513099998</v>
      </c>
      <c r="Q105" s="26"/>
    </row>
    <row r="106" spans="2:17" x14ac:dyDescent="0.2">
      <c r="B106" s="27" t="s">
        <v>63</v>
      </c>
      <c r="C106" s="26"/>
      <c r="D106" s="91">
        <f t="shared" si="26"/>
        <v>568638.39</v>
      </c>
      <c r="E106" s="92">
        <f t="shared" si="22"/>
        <v>5.9905122114811835</v>
      </c>
      <c r="F106" s="80">
        <f t="shared" si="27"/>
        <v>3406435.2192119998</v>
      </c>
      <c r="G106" s="26"/>
      <c r="H106" s="91">
        <f t="shared" si="28"/>
        <v>418003.48</v>
      </c>
      <c r="I106" s="92">
        <f t="shared" si="23"/>
        <v>0.86597704065047509</v>
      </c>
      <c r="J106" s="80">
        <f t="shared" si="29"/>
        <v>361981.41659200005</v>
      </c>
      <c r="K106" s="26"/>
      <c r="L106" s="91">
        <f t="shared" si="30"/>
        <v>573625.22</v>
      </c>
      <c r="M106" s="92">
        <f t="shared" si="24"/>
        <v>3.5169607026831913</v>
      </c>
      <c r="N106" s="80">
        <f t="shared" si="31"/>
        <v>2017417.356808</v>
      </c>
      <c r="O106" s="26"/>
      <c r="P106" s="80">
        <f t="shared" si="25"/>
        <v>2379398.7734000003</v>
      </c>
      <c r="Q106" s="26"/>
    </row>
    <row r="107" spans="2:17" x14ac:dyDescent="0.2">
      <c r="B107" s="26"/>
      <c r="C107" s="26"/>
      <c r="D107" s="26"/>
      <c r="E107" s="26"/>
      <c r="F107" s="26"/>
      <c r="G107" s="26"/>
      <c r="H107" s="26"/>
      <c r="I107" s="26"/>
      <c r="J107" s="26"/>
      <c r="K107" s="26"/>
      <c r="L107" s="26"/>
      <c r="M107" s="26"/>
      <c r="N107" s="26"/>
      <c r="O107" s="26"/>
      <c r="P107" s="80"/>
      <c r="Q107" s="26"/>
    </row>
    <row r="108" spans="2:17" ht="13.5" thickBot="1" x14ac:dyDescent="0.25">
      <c r="B108" s="74" t="s">
        <v>3</v>
      </c>
      <c r="C108" s="26"/>
      <c r="D108" s="81">
        <f>SUM(D95:D106)</f>
        <v>7206202.4899999993</v>
      </c>
      <c r="E108" s="82">
        <f>IF(D108&lt;&gt;0,F108/D108,0)</f>
        <v>5.9976961206778423</v>
      </c>
      <c r="F108" s="83">
        <f>SUM(F95:F106)</f>
        <v>43220612.719092004</v>
      </c>
      <c r="G108" s="26"/>
      <c r="H108" s="81">
        <f>SUM(H95:H106)</f>
        <v>4997691.82</v>
      </c>
      <c r="I108" s="82">
        <f>IF(H108&lt;&gt;0,J108/H108,0)</f>
        <v>0.86330990657763285</v>
      </c>
      <c r="J108" s="83">
        <f>SUM(J95:J106)</f>
        <v>4314556.8582279999</v>
      </c>
      <c r="K108" s="26"/>
      <c r="L108" s="81">
        <f>SUM(L95:L106)</f>
        <v>7371240.669999999</v>
      </c>
      <c r="M108" s="82">
        <f>IF(L108&lt;&gt;0,N108/L108,0)</f>
        <v>3.515074332824355</v>
      </c>
      <c r="N108" s="83">
        <f>SUM(N95:N106)</f>
        <v>25910458.880187999</v>
      </c>
      <c r="O108" s="26"/>
      <c r="P108" s="83">
        <f>SUM(P95:P106)</f>
        <v>30225015.738416001</v>
      </c>
      <c r="Q108" s="26"/>
    </row>
    <row r="109" spans="2:17" x14ac:dyDescent="0.2">
      <c r="P109" s="80"/>
    </row>
    <row r="110" spans="2:17" x14ac:dyDescent="0.2">
      <c r="M110" s="93"/>
      <c r="N110" s="94" t="s">
        <v>68</v>
      </c>
      <c r="P110" s="95">
        <v>0</v>
      </c>
    </row>
    <row r="112" spans="2:17" ht="13.5" thickBot="1" x14ac:dyDescent="0.25">
      <c r="N112" s="96" t="s">
        <v>69</v>
      </c>
      <c r="P112" s="83">
        <f>P108+P110</f>
        <v>30225015.738416001</v>
      </c>
    </row>
  </sheetData>
  <mergeCells count="19">
    <mergeCell ref="B13:P13"/>
    <mergeCell ref="D16:F16"/>
    <mergeCell ref="H16:J16"/>
    <mergeCell ref="L16:N16"/>
    <mergeCell ref="D34:F34"/>
    <mergeCell ref="H34:J34"/>
    <mergeCell ref="L34:N34"/>
    <mergeCell ref="D53:F53"/>
    <mergeCell ref="H53:J53"/>
    <mergeCell ref="L53:N53"/>
    <mergeCell ref="D72:F72"/>
    <mergeCell ref="H72:J72"/>
    <mergeCell ref="L72:N72"/>
    <mergeCell ref="D91:F91"/>
    <mergeCell ref="H91:J91"/>
    <mergeCell ref="L91:N91"/>
    <mergeCell ref="D92:F92"/>
    <mergeCell ref="H92:J92"/>
    <mergeCell ref="L92:N9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92DD-747F-4D05-BBCD-C6AC5388EE78}">
  <dimension ref="A13:R113"/>
  <sheetViews>
    <sheetView topLeftCell="B4" workbookViewId="0">
      <selection activeCell="D20" sqref="D20"/>
    </sheetView>
  </sheetViews>
  <sheetFormatPr defaultColWidth="9.28515625" defaultRowHeight="12.75" x14ac:dyDescent="0.2"/>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x14ac:dyDescent="0.25">
      <c r="B13" s="244" t="s">
        <v>70</v>
      </c>
      <c r="C13" s="243"/>
      <c r="D13" s="243"/>
      <c r="E13" s="243"/>
      <c r="F13" s="243"/>
      <c r="G13" s="243"/>
      <c r="H13" s="243"/>
      <c r="I13" s="243"/>
      <c r="J13" s="243"/>
      <c r="K13" s="243"/>
      <c r="L13" s="243"/>
      <c r="M13" s="243"/>
      <c r="N13" s="243"/>
      <c r="O13" s="243"/>
      <c r="P13" s="243"/>
    </row>
    <row r="16" spans="2:17" x14ac:dyDescent="0.2">
      <c r="B16" s="71" t="s">
        <v>47</v>
      </c>
      <c r="C16" s="72"/>
      <c r="D16" s="240" t="s">
        <v>0</v>
      </c>
      <c r="E16" s="240"/>
      <c r="F16" s="240"/>
      <c r="G16" s="72"/>
      <c r="H16" s="240" t="s">
        <v>1</v>
      </c>
      <c r="I16" s="240"/>
      <c r="J16" s="240"/>
      <c r="K16" s="72"/>
      <c r="L16" s="240" t="s">
        <v>2</v>
      </c>
      <c r="M16" s="240"/>
      <c r="N16" s="240"/>
      <c r="O16" s="72"/>
      <c r="P16" s="71" t="s">
        <v>48</v>
      </c>
      <c r="Q16" s="26"/>
    </row>
    <row r="17" spans="2:17" ht="15.75" x14ac:dyDescent="0.25">
      <c r="B17" s="26"/>
      <c r="C17" s="26"/>
      <c r="D17" s="241"/>
      <c r="E17" s="241"/>
      <c r="F17" s="241"/>
      <c r="G17" s="26"/>
      <c r="H17" s="241"/>
      <c r="I17" s="241"/>
      <c r="J17" s="241"/>
      <c r="K17" s="26"/>
      <c r="L17" s="241"/>
      <c r="M17" s="241"/>
      <c r="N17" s="241"/>
      <c r="O17" s="26"/>
      <c r="P17" s="90"/>
      <c r="Q17" s="73"/>
    </row>
    <row r="18" spans="2:17" x14ac:dyDescent="0.2">
      <c r="B18" s="74" t="s">
        <v>49</v>
      </c>
      <c r="C18" s="26"/>
      <c r="D18" s="90" t="s">
        <v>50</v>
      </c>
      <c r="E18" s="90" t="s">
        <v>9</v>
      </c>
      <c r="F18" s="90" t="s">
        <v>51</v>
      </c>
      <c r="G18" s="26"/>
      <c r="H18" s="90" t="s">
        <v>50</v>
      </c>
      <c r="I18" s="90" t="s">
        <v>9</v>
      </c>
      <c r="J18" s="90" t="s">
        <v>51</v>
      </c>
      <c r="K18" s="26"/>
      <c r="L18" s="90" t="s">
        <v>50</v>
      </c>
      <c r="M18" s="90" t="s">
        <v>9</v>
      </c>
      <c r="N18" s="90" t="s">
        <v>51</v>
      </c>
      <c r="O18" s="26"/>
      <c r="P18" s="90" t="s">
        <v>51</v>
      </c>
      <c r="Q18" s="26"/>
    </row>
    <row r="19" spans="2:17" x14ac:dyDescent="0.2">
      <c r="B19" s="26"/>
      <c r="C19" s="26"/>
      <c r="D19" s="26"/>
      <c r="E19" s="26"/>
      <c r="F19" s="26"/>
      <c r="G19" s="26"/>
      <c r="H19" s="26"/>
      <c r="I19" s="26"/>
      <c r="J19" s="26"/>
      <c r="K19" s="26"/>
      <c r="L19" s="26"/>
      <c r="M19" s="26"/>
      <c r="N19" s="26"/>
      <c r="O19" s="26"/>
      <c r="P19" s="26"/>
      <c r="Q19" s="26"/>
    </row>
    <row r="20" spans="2:17" x14ac:dyDescent="0.2">
      <c r="B20" s="27" t="s">
        <v>52</v>
      </c>
      <c r="C20" s="26"/>
      <c r="D20" s="97">
        <v>322124.8196231348</v>
      </c>
      <c r="E20" s="92">
        <f>'4. UTRs &amp; Sub-Transmission'!M22</f>
        <v>6.7584755882424217</v>
      </c>
      <c r="F20" s="98">
        <f>D20*E20</f>
        <v>2177072.72978995</v>
      </c>
      <c r="G20" s="26"/>
      <c r="H20" s="97">
        <v>166681.40032324116</v>
      </c>
      <c r="I20" s="92">
        <f>'4. UTRs &amp; Sub-Transmission'!M24</f>
        <v>1.0878936347271062</v>
      </c>
      <c r="J20" s="98">
        <f>H20*I20</f>
        <v>181331.63443905467</v>
      </c>
      <c r="K20" s="26"/>
      <c r="L20" s="97">
        <v>343207.52268422151</v>
      </c>
      <c r="M20" s="92">
        <f>'4. UTRs &amp; Sub-Transmission'!M26</f>
        <v>3.6651792464754558</v>
      </c>
      <c r="N20" s="98">
        <f>L20*M20</f>
        <v>1257917.0893764629</v>
      </c>
      <c r="O20" s="26"/>
      <c r="P20" s="80">
        <f t="shared" ref="P20:P31" si="0">J20+N20</f>
        <v>1439248.7238155175</v>
      </c>
      <c r="Q20" s="26"/>
    </row>
    <row r="21" spans="2:17" x14ac:dyDescent="0.2">
      <c r="B21" s="27" t="s">
        <v>53</v>
      </c>
      <c r="C21" s="26"/>
      <c r="D21" s="97">
        <v>316069.26070367673</v>
      </c>
      <c r="E21" s="92">
        <f>E20</f>
        <v>6.7584755882424217</v>
      </c>
      <c r="F21" s="98">
        <f t="shared" ref="F21:F31" si="1">D21*E21</f>
        <v>2136146.382659629</v>
      </c>
      <c r="G21" s="26"/>
      <c r="H21" s="97">
        <v>175062.88709948314</v>
      </c>
      <c r="I21" s="92">
        <f>I20</f>
        <v>1.0878936347271062</v>
      </c>
      <c r="J21" s="98">
        <f t="shared" ref="J21:J31" si="2">H21*I21</f>
        <v>190449.80055247774</v>
      </c>
      <c r="K21" s="26"/>
      <c r="L21" s="97">
        <v>335811.9703025929</v>
      </c>
      <c r="M21" s="92">
        <f>M20</f>
        <v>3.6651792464754558</v>
      </c>
      <c r="N21" s="98">
        <f t="shared" ref="N21:N31" si="3">L21*M21</f>
        <v>1230811.0642710957</v>
      </c>
      <c r="O21" s="26"/>
      <c r="P21" s="80">
        <f t="shared" si="0"/>
        <v>1421260.8648235735</v>
      </c>
      <c r="Q21" s="26"/>
    </row>
    <row r="22" spans="2:17" x14ac:dyDescent="0.2">
      <c r="B22" s="27" t="s">
        <v>54</v>
      </c>
      <c r="C22" s="26"/>
      <c r="D22" s="97">
        <v>310919.21568266128</v>
      </c>
      <c r="E22" s="92">
        <f>E21</f>
        <v>6.7584755882424217</v>
      </c>
      <c r="F22" s="98">
        <f t="shared" si="1"/>
        <v>2101339.9291067463</v>
      </c>
      <c r="G22" s="26"/>
      <c r="H22" s="97">
        <v>167403.09594472195</v>
      </c>
      <c r="I22" s="92">
        <f t="shared" ref="I22:I31" si="4">I21</f>
        <v>1.0878936347271062</v>
      </c>
      <c r="J22" s="98">
        <f t="shared" si="2"/>
        <v>182116.76251187405</v>
      </c>
      <c r="K22" s="26"/>
      <c r="L22" s="97">
        <v>319776.9589037589</v>
      </c>
      <c r="M22" s="92">
        <f t="shared" ref="M22:M31" si="5">M21</f>
        <v>3.6651792464754558</v>
      </c>
      <c r="N22" s="98">
        <f t="shared" si="3"/>
        <v>1172039.8732750919</v>
      </c>
      <c r="O22" s="26"/>
      <c r="P22" s="80">
        <f t="shared" si="0"/>
        <v>1354156.635786966</v>
      </c>
      <c r="Q22" s="26"/>
    </row>
    <row r="23" spans="2:17" x14ac:dyDescent="0.2">
      <c r="B23" s="27" t="s">
        <v>55</v>
      </c>
      <c r="C23" s="26"/>
      <c r="D23" s="97">
        <v>302539.81775047566</v>
      </c>
      <c r="E23" s="92">
        <f t="shared" ref="E23:E31" si="6">E22</f>
        <v>6.7584755882424217</v>
      </c>
      <c r="F23" s="98">
        <f t="shared" si="1"/>
        <v>2044707.9727379011</v>
      </c>
      <c r="G23" s="26"/>
      <c r="H23" s="97">
        <v>159982.47743441674</v>
      </c>
      <c r="I23" s="92">
        <f t="shared" si="4"/>
        <v>1.0878936347271062</v>
      </c>
      <c r="J23" s="98">
        <f t="shared" si="2"/>
        <v>174043.91886877487</v>
      </c>
      <c r="K23" s="26"/>
      <c r="L23" s="97">
        <v>304915.87786461279</v>
      </c>
      <c r="M23" s="92">
        <f t="shared" si="5"/>
        <v>3.6651792464754558</v>
      </c>
      <c r="N23" s="98">
        <f t="shared" si="3"/>
        <v>1117571.3474702237</v>
      </c>
      <c r="O23" s="26"/>
      <c r="P23" s="80">
        <f t="shared" si="0"/>
        <v>1291615.2663389985</v>
      </c>
      <c r="Q23" s="26"/>
    </row>
    <row r="24" spans="2:17" x14ac:dyDescent="0.2">
      <c r="B24" s="27" t="s">
        <v>56</v>
      </c>
      <c r="C24" s="26"/>
      <c r="D24" s="97">
        <v>371535.38135487714</v>
      </c>
      <c r="E24" s="92">
        <f t="shared" si="6"/>
        <v>6.7584755882424217</v>
      </c>
      <c r="F24" s="98">
        <f t="shared" si="1"/>
        <v>2511012.8050552756</v>
      </c>
      <c r="G24" s="26"/>
      <c r="H24" s="97">
        <v>213300.22197362586</v>
      </c>
      <c r="I24" s="92">
        <f t="shared" si="4"/>
        <v>1.0878936347271062</v>
      </c>
      <c r="J24" s="98">
        <f t="shared" si="2"/>
        <v>232047.95377098641</v>
      </c>
      <c r="K24" s="26"/>
      <c r="L24" s="97">
        <v>383064.75612409023</v>
      </c>
      <c r="M24" s="92">
        <f t="shared" si="5"/>
        <v>3.6651792464754558</v>
      </c>
      <c r="N24" s="98">
        <f t="shared" si="3"/>
        <v>1404000.9942021973</v>
      </c>
      <c r="O24" s="26"/>
      <c r="P24" s="80">
        <f t="shared" si="0"/>
        <v>1636048.9479731838</v>
      </c>
      <c r="Q24" s="26"/>
    </row>
    <row r="25" spans="2:17" x14ac:dyDescent="0.2">
      <c r="B25" s="27" t="s">
        <v>57</v>
      </c>
      <c r="C25" s="26"/>
      <c r="D25" s="97">
        <v>422902.14554542332</v>
      </c>
      <c r="E25" s="92">
        <f t="shared" si="6"/>
        <v>6.7584755882424217</v>
      </c>
      <c r="F25" s="98">
        <f t="shared" si="1"/>
        <v>2858173.8268840872</v>
      </c>
      <c r="G25" s="26"/>
      <c r="H25" s="97">
        <v>266069.64494803408</v>
      </c>
      <c r="I25" s="92">
        <f t="shared" si="4"/>
        <v>1.0878936347271062</v>
      </c>
      <c r="J25" s="98">
        <f t="shared" si="2"/>
        <v>289455.47313306743</v>
      </c>
      <c r="K25" s="26"/>
      <c r="L25" s="97">
        <v>457323.16232855187</v>
      </c>
      <c r="M25" s="92">
        <f t="shared" si="5"/>
        <v>3.6651792464754558</v>
      </c>
      <c r="N25" s="98">
        <f t="shared" si="3"/>
        <v>1676171.3634991343</v>
      </c>
      <c r="O25" s="26"/>
      <c r="P25" s="80">
        <f t="shared" si="0"/>
        <v>1965626.8366322017</v>
      </c>
      <c r="Q25" s="26"/>
    </row>
    <row r="26" spans="2:17" x14ac:dyDescent="0.2">
      <c r="B26" s="27" t="s">
        <v>58</v>
      </c>
      <c r="C26" s="26"/>
      <c r="D26" s="97">
        <v>462665.38100275473</v>
      </c>
      <c r="E26" s="92">
        <f t="shared" si="6"/>
        <v>6.7584755882424217</v>
      </c>
      <c r="F26" s="98">
        <f t="shared" si="1"/>
        <v>3126912.6830319967</v>
      </c>
      <c r="G26" s="26"/>
      <c r="H26" s="97">
        <v>278658.06365383405</v>
      </c>
      <c r="I26" s="92">
        <f t="shared" si="4"/>
        <v>1.0878936347271062</v>
      </c>
      <c r="J26" s="98">
        <f t="shared" si="2"/>
        <v>303150.33371438686</v>
      </c>
      <c r="K26" s="26"/>
      <c r="L26" s="97">
        <v>474475.70529755153</v>
      </c>
      <c r="M26" s="92">
        <f t="shared" si="5"/>
        <v>3.6651792464754558</v>
      </c>
      <c r="N26" s="98">
        <f t="shared" si="3"/>
        <v>1739038.5080133902</v>
      </c>
      <c r="O26" s="26"/>
      <c r="P26" s="80">
        <f t="shared" si="0"/>
        <v>2042188.8417277772</v>
      </c>
      <c r="Q26" s="26"/>
    </row>
    <row r="27" spans="2:17" x14ac:dyDescent="0.2">
      <c r="B27" s="27" t="s">
        <v>59</v>
      </c>
      <c r="C27" s="26"/>
      <c r="D27" s="97">
        <v>449881.65537768282</v>
      </c>
      <c r="E27" s="92">
        <f t="shared" si="6"/>
        <v>6.7584755882424217</v>
      </c>
      <c r="F27" s="98">
        <f t="shared" si="1"/>
        <v>3040514.1854681592</v>
      </c>
      <c r="G27" s="26"/>
      <c r="H27" s="97">
        <v>270216.00039995689</v>
      </c>
      <c r="I27" s="92">
        <f t="shared" si="4"/>
        <v>1.0878936347271062</v>
      </c>
      <c r="J27" s="98">
        <f t="shared" si="2"/>
        <v>293966.2668365303</v>
      </c>
      <c r="K27" s="26"/>
      <c r="L27" s="97">
        <v>466991.37704352662</v>
      </c>
      <c r="M27" s="92">
        <f t="shared" si="5"/>
        <v>3.6651792464754558</v>
      </c>
      <c r="N27" s="98">
        <f t="shared" si="3"/>
        <v>1711607.1034229284</v>
      </c>
      <c r="O27" s="26"/>
      <c r="P27" s="80">
        <f t="shared" si="0"/>
        <v>2005573.3702594587</v>
      </c>
      <c r="Q27" s="26"/>
    </row>
    <row r="28" spans="2:17" x14ac:dyDescent="0.2">
      <c r="B28" s="27" t="s">
        <v>60</v>
      </c>
      <c r="C28" s="26"/>
      <c r="D28" s="97">
        <v>391101.58363102883</v>
      </c>
      <c r="E28" s="92">
        <f t="shared" si="6"/>
        <v>6.7584755882424217</v>
      </c>
      <c r="F28" s="98">
        <f t="shared" si="1"/>
        <v>2643250.5054932605</v>
      </c>
      <c r="G28" s="26"/>
      <c r="H28" s="97">
        <v>220279.04996600578</v>
      </c>
      <c r="I28" s="92">
        <f t="shared" si="4"/>
        <v>1.0878936347271062</v>
      </c>
      <c r="J28" s="98">
        <f t="shared" si="2"/>
        <v>239640.17632175187</v>
      </c>
      <c r="K28" s="26"/>
      <c r="L28" s="97">
        <v>392143.91681516456</v>
      </c>
      <c r="M28" s="92">
        <f t="shared" si="5"/>
        <v>3.6651792464754558</v>
      </c>
      <c r="N28" s="98">
        <f t="shared" si="3"/>
        <v>1437277.7455425386</v>
      </c>
      <c r="O28" s="26"/>
      <c r="P28" s="80">
        <f t="shared" si="0"/>
        <v>1676917.9218642905</v>
      </c>
      <c r="Q28" s="26"/>
    </row>
    <row r="29" spans="2:17" x14ac:dyDescent="0.2">
      <c r="B29" s="27" t="s">
        <v>61</v>
      </c>
      <c r="C29" s="26"/>
      <c r="D29" s="97">
        <v>320320.05835841881</v>
      </c>
      <c r="E29" s="92">
        <f t="shared" si="6"/>
        <v>6.7584755882424217</v>
      </c>
      <c r="F29" s="98">
        <f t="shared" si="1"/>
        <v>2164875.2948397612</v>
      </c>
      <c r="G29" s="26"/>
      <c r="H29" s="97">
        <v>230453.80936465369</v>
      </c>
      <c r="I29" s="92">
        <f t="shared" si="4"/>
        <v>1.0878936347271062</v>
      </c>
      <c r="J29" s="98">
        <f t="shared" si="2"/>
        <v>250709.23230642072</v>
      </c>
      <c r="K29" s="26"/>
      <c r="L29" s="97">
        <v>335645.90720011038</v>
      </c>
      <c r="M29" s="92">
        <f t="shared" si="5"/>
        <v>3.6651792464754558</v>
      </c>
      <c r="N29" s="98">
        <f t="shared" si="3"/>
        <v>1230202.4132342713</v>
      </c>
      <c r="O29" s="26"/>
      <c r="P29" s="80">
        <f t="shared" si="0"/>
        <v>1480911.6455406921</v>
      </c>
      <c r="Q29" s="26"/>
    </row>
    <row r="30" spans="2:17" x14ac:dyDescent="0.2">
      <c r="B30" s="27" t="s">
        <v>62</v>
      </c>
      <c r="C30" s="26"/>
      <c r="D30" s="97">
        <v>308324.87136463198</v>
      </c>
      <c r="E30" s="92">
        <f t="shared" si="6"/>
        <v>6.7584755882424217</v>
      </c>
      <c r="F30" s="98">
        <f t="shared" si="1"/>
        <v>2083806.1163658502</v>
      </c>
      <c r="G30" s="26"/>
      <c r="H30" s="97">
        <v>175179.86236664068</v>
      </c>
      <c r="I30" s="92">
        <f t="shared" si="4"/>
        <v>1.0878936347271062</v>
      </c>
      <c r="J30" s="98">
        <f t="shared" si="2"/>
        <v>190577.05720103893</v>
      </c>
      <c r="K30" s="26"/>
      <c r="L30" s="97">
        <v>289242.23648753326</v>
      </c>
      <c r="M30" s="92">
        <f t="shared" si="5"/>
        <v>3.6651792464754558</v>
      </c>
      <c r="N30" s="98">
        <f t="shared" si="3"/>
        <v>1060124.6423782527</v>
      </c>
      <c r="O30" s="26"/>
      <c r="P30" s="80">
        <f t="shared" si="0"/>
        <v>1250701.6995792915</v>
      </c>
      <c r="Q30" s="26"/>
    </row>
    <row r="31" spans="2:17" x14ac:dyDescent="0.2">
      <c r="B31" s="27" t="s">
        <v>63</v>
      </c>
      <c r="C31" s="26"/>
      <c r="D31" s="97">
        <v>335787.9485959445</v>
      </c>
      <c r="E31" s="92">
        <f t="shared" si="6"/>
        <v>6.7584755882424217</v>
      </c>
      <c r="F31" s="98">
        <f t="shared" si="1"/>
        <v>2269414.653411692</v>
      </c>
      <c r="G31" s="26"/>
      <c r="H31" s="97">
        <v>215968.72025565678</v>
      </c>
      <c r="I31" s="92">
        <f t="shared" si="4"/>
        <v>1.0878936347271062</v>
      </c>
      <c r="J31" s="98">
        <f t="shared" si="2"/>
        <v>234950.99606628806</v>
      </c>
      <c r="K31" s="26"/>
      <c r="L31" s="97">
        <v>334685.03893417359</v>
      </c>
      <c r="M31" s="92">
        <f t="shared" si="5"/>
        <v>3.6651792464754558</v>
      </c>
      <c r="N31" s="98">
        <f t="shared" si="3"/>
        <v>1226680.6588073629</v>
      </c>
      <c r="O31" s="26"/>
      <c r="P31" s="80">
        <f t="shared" si="0"/>
        <v>1461631.654873651</v>
      </c>
      <c r="Q31" s="26"/>
    </row>
    <row r="32" spans="2:17" x14ac:dyDescent="0.2">
      <c r="B32" s="26"/>
      <c r="C32" s="26"/>
      <c r="D32" s="26"/>
      <c r="E32" s="26"/>
      <c r="F32" s="26"/>
      <c r="G32" s="26"/>
      <c r="H32" s="26"/>
      <c r="I32" s="26"/>
      <c r="J32" s="26"/>
      <c r="K32" s="26"/>
      <c r="L32" s="26"/>
      <c r="M32" s="26"/>
      <c r="N32" s="26"/>
      <c r="O32" s="26"/>
      <c r="P32" s="26"/>
      <c r="Q32" s="26"/>
    </row>
    <row r="33" spans="2:18" ht="13.5" thickBot="1" x14ac:dyDescent="0.25">
      <c r="B33" s="74" t="s">
        <v>3</v>
      </c>
      <c r="C33" s="26"/>
      <c r="D33" s="81">
        <f>SUM(D20:D31)</f>
        <v>4314172.1389907105</v>
      </c>
      <c r="E33" s="82">
        <f>IF(D33&lt;&gt;0,F33/D33,0)</f>
        <v>6.7584755882424226</v>
      </c>
      <c r="F33" s="83">
        <f>SUM(F20:F31)</f>
        <v>29157227.084844314</v>
      </c>
      <c r="G33" s="26"/>
      <c r="H33" s="81">
        <f>SUM(H20:H31)</f>
        <v>2539255.233730271</v>
      </c>
      <c r="I33" s="82">
        <f>IF(H33&lt;&gt;0,J33/H33,0)</f>
        <v>1.0878936347271062</v>
      </c>
      <c r="J33" s="83">
        <f>SUM(J20:J31)</f>
        <v>2762439.6057226523</v>
      </c>
      <c r="K33" s="26"/>
      <c r="L33" s="81">
        <f>SUM(L20:L31)</f>
        <v>4437284.4299858883</v>
      </c>
      <c r="M33" s="82">
        <f>IF(L33&lt;&gt;0,N33/L33,0)</f>
        <v>3.6651792464754558</v>
      </c>
      <c r="N33" s="83">
        <f>SUM(N20:N31)</f>
        <v>16263442.80349295</v>
      </c>
      <c r="O33" s="26"/>
      <c r="P33" s="83">
        <f>SUM(P20:P31)</f>
        <v>19025882.409215599</v>
      </c>
      <c r="Q33" s="26"/>
      <c r="R33" s="217"/>
    </row>
    <row r="34" spans="2:18" x14ac:dyDescent="0.2">
      <c r="B34" s="26"/>
      <c r="C34" s="26"/>
      <c r="D34" s="26"/>
      <c r="E34" s="26"/>
      <c r="F34" s="26"/>
      <c r="G34" s="26"/>
      <c r="H34" s="26"/>
      <c r="I34" s="26"/>
      <c r="J34" s="26"/>
      <c r="K34" s="26"/>
      <c r="L34" s="26"/>
      <c r="M34" s="26"/>
      <c r="N34" s="26"/>
      <c r="O34" s="26"/>
      <c r="P34" s="26"/>
      <c r="Q34" s="26"/>
    </row>
    <row r="35" spans="2:18" x14ac:dyDescent="0.2">
      <c r="B35" s="71" t="s">
        <v>64</v>
      </c>
      <c r="C35" s="72"/>
      <c r="D35" s="240" t="s">
        <v>0</v>
      </c>
      <c r="E35" s="240"/>
      <c r="F35" s="240"/>
      <c r="G35" s="72"/>
      <c r="H35" s="240" t="s">
        <v>1</v>
      </c>
      <c r="I35" s="240"/>
      <c r="J35" s="240"/>
      <c r="K35" s="72"/>
      <c r="L35" s="240" t="s">
        <v>2</v>
      </c>
      <c r="M35" s="240"/>
      <c r="N35" s="240"/>
      <c r="O35" s="72"/>
      <c r="P35" s="71" t="s">
        <v>48</v>
      </c>
      <c r="Q35" s="26"/>
    </row>
    <row r="36" spans="2:18" x14ac:dyDescent="0.2">
      <c r="B36" s="74"/>
      <c r="C36" s="26"/>
      <c r="D36" s="90"/>
      <c r="E36" s="90"/>
      <c r="F36" s="90"/>
      <c r="G36" s="26"/>
      <c r="H36" s="90"/>
      <c r="I36" s="90"/>
      <c r="J36" s="90"/>
      <c r="K36" s="26"/>
      <c r="L36" s="90"/>
      <c r="M36" s="90"/>
      <c r="N36" s="90"/>
      <c r="O36" s="26"/>
      <c r="P36" s="90"/>
      <c r="Q36" s="26"/>
    </row>
    <row r="37" spans="2:18" x14ac:dyDescent="0.2">
      <c r="B37" s="74" t="s">
        <v>49</v>
      </c>
      <c r="C37" s="26"/>
      <c r="D37" s="90" t="s">
        <v>50</v>
      </c>
      <c r="E37" s="90" t="s">
        <v>9</v>
      </c>
      <c r="F37" s="90" t="s">
        <v>51</v>
      </c>
      <c r="G37" s="26"/>
      <c r="H37" s="90" t="s">
        <v>50</v>
      </c>
      <c r="I37" s="90" t="s">
        <v>9</v>
      </c>
      <c r="J37" s="90" t="s">
        <v>51</v>
      </c>
      <c r="K37" s="26"/>
      <c r="L37" s="90" t="s">
        <v>50</v>
      </c>
      <c r="M37" s="90" t="s">
        <v>9</v>
      </c>
      <c r="N37" s="90" t="s">
        <v>51</v>
      </c>
      <c r="O37" s="26"/>
      <c r="P37" s="90" t="s">
        <v>51</v>
      </c>
      <c r="Q37" s="26"/>
    </row>
    <row r="38" spans="2:18" x14ac:dyDescent="0.2">
      <c r="B38" s="26"/>
      <c r="C38" s="26"/>
      <c r="D38" s="26"/>
      <c r="E38" s="26"/>
      <c r="F38" s="26"/>
      <c r="G38" s="26"/>
      <c r="H38" s="26"/>
      <c r="I38" s="26"/>
      <c r="J38" s="26"/>
      <c r="K38" s="26"/>
      <c r="L38" s="26"/>
      <c r="M38" s="26"/>
      <c r="N38" s="26"/>
      <c r="O38" s="26"/>
      <c r="P38" s="26"/>
      <c r="Q38" s="26"/>
    </row>
    <row r="39" spans="2:18" x14ac:dyDescent="0.2">
      <c r="B39" s="27" t="s">
        <v>52</v>
      </c>
      <c r="C39" s="26"/>
      <c r="D39" s="97">
        <v>281993.11207425722</v>
      </c>
      <c r="E39" s="92">
        <f>'4. UTRs &amp; Sub-Transmission'!M35</f>
        <v>5.7862704613703659</v>
      </c>
      <c r="F39" s="98">
        <f>D39*E39</f>
        <v>1631688.4147051778</v>
      </c>
      <c r="G39" s="26"/>
      <c r="H39" s="97">
        <v>256383.71683546124</v>
      </c>
      <c r="I39" s="92">
        <f>'4. UTRs &amp; Sub-Transmission'!M37</f>
        <v>0.74504870867621431</v>
      </c>
      <c r="J39" s="98">
        <f>H39*I39</f>
        <v>191018.35715386859</v>
      </c>
      <c r="K39" s="26"/>
      <c r="L39" s="97">
        <v>297259.53330254462</v>
      </c>
      <c r="M39" s="92">
        <f>'4. UTRs &amp; Sub-Transmission'!M39</f>
        <v>3.7775639933990832</v>
      </c>
      <c r="N39" s="98">
        <f>L39*M39</f>
        <v>1122916.9096983082</v>
      </c>
      <c r="O39" s="26"/>
      <c r="P39" s="80">
        <f t="shared" ref="P39:P50" si="7">J39+N39</f>
        <v>1313935.2668521767</v>
      </c>
      <c r="Q39" s="26"/>
    </row>
    <row r="40" spans="2:18" x14ac:dyDescent="0.2">
      <c r="B40" s="27" t="s">
        <v>53</v>
      </c>
      <c r="C40" s="26"/>
      <c r="D40" s="97">
        <v>282107.0376290924</v>
      </c>
      <c r="E40" s="92">
        <f t="shared" ref="E40:E50" si="8">E39</f>
        <v>5.7862704613703659</v>
      </c>
      <c r="F40" s="98">
        <f t="shared" ref="F40:F50" si="9">D40*E40</f>
        <v>1632347.6187779156</v>
      </c>
      <c r="G40" s="26"/>
      <c r="H40" s="97">
        <v>235108.00458356465</v>
      </c>
      <c r="I40" s="92">
        <f t="shared" ref="I40:I50" si="10">I39</f>
        <v>0.74504870867621431</v>
      </c>
      <c r="J40" s="98">
        <f t="shared" ref="J40:J50" si="11">H40*I40</f>
        <v>175166.91521442632</v>
      </c>
      <c r="K40" s="26"/>
      <c r="L40" s="97">
        <v>283646.96480011969</v>
      </c>
      <c r="M40" s="92">
        <f t="shared" ref="M40:M50" si="12">M39</f>
        <v>3.7775639933990832</v>
      </c>
      <c r="N40" s="98">
        <f t="shared" ref="N40:N50" si="13">L40*M40</f>
        <v>1071494.5610658694</v>
      </c>
      <c r="O40" s="26"/>
      <c r="P40" s="80">
        <f t="shared" si="7"/>
        <v>1246661.4762802958</v>
      </c>
      <c r="Q40" s="26"/>
    </row>
    <row r="41" spans="2:18" x14ac:dyDescent="0.2">
      <c r="B41" s="27" t="s">
        <v>54</v>
      </c>
      <c r="C41" s="26"/>
      <c r="D41" s="97">
        <v>237380.82358021499</v>
      </c>
      <c r="E41" s="92">
        <f t="shared" si="8"/>
        <v>5.7862704613703659</v>
      </c>
      <c r="F41" s="98">
        <f t="shared" si="9"/>
        <v>1373549.647577968</v>
      </c>
      <c r="G41" s="26"/>
      <c r="H41" s="97">
        <v>202460.68795403364</v>
      </c>
      <c r="I41" s="92">
        <f t="shared" si="10"/>
        <v>0.74504870867621431</v>
      </c>
      <c r="J41" s="98">
        <f t="shared" si="11"/>
        <v>150843.07411785075</v>
      </c>
      <c r="K41" s="26"/>
      <c r="L41" s="97">
        <v>241729.03447752653</v>
      </c>
      <c r="M41" s="92">
        <f t="shared" si="12"/>
        <v>3.7775639933990832</v>
      </c>
      <c r="N41" s="98">
        <f t="shared" si="13"/>
        <v>913146.8968014298</v>
      </c>
      <c r="O41" s="26"/>
      <c r="P41" s="80">
        <f t="shared" si="7"/>
        <v>1063989.9709192805</v>
      </c>
      <c r="Q41" s="26"/>
    </row>
    <row r="42" spans="2:18" x14ac:dyDescent="0.2">
      <c r="B42" s="27" t="s">
        <v>55</v>
      </c>
      <c r="C42" s="26"/>
      <c r="D42" s="97">
        <v>208892.06125189611</v>
      </c>
      <c r="E42" s="92">
        <f t="shared" si="8"/>
        <v>5.7862704613703659</v>
      </c>
      <c r="F42" s="98">
        <f t="shared" si="9"/>
        <v>1208705.9636366158</v>
      </c>
      <c r="G42" s="26"/>
      <c r="H42" s="97">
        <v>184770.30941739617</v>
      </c>
      <c r="I42" s="92">
        <f t="shared" si="10"/>
        <v>0.74504870867621431</v>
      </c>
      <c r="J42" s="98">
        <f t="shared" si="11"/>
        <v>137662.88043313558</v>
      </c>
      <c r="K42" s="26"/>
      <c r="L42" s="97">
        <v>213184.44779180078</v>
      </c>
      <c r="M42" s="92">
        <f t="shared" si="12"/>
        <v>3.7775639933990832</v>
      </c>
      <c r="N42" s="98">
        <f t="shared" si="13"/>
        <v>805317.89393097325</v>
      </c>
      <c r="O42" s="26"/>
      <c r="P42" s="80">
        <f t="shared" si="7"/>
        <v>942980.7743641088</v>
      </c>
      <c r="Q42" s="26"/>
    </row>
    <row r="43" spans="2:18" x14ac:dyDescent="0.2">
      <c r="B43" s="27" t="s">
        <v>56</v>
      </c>
      <c r="C43" s="26"/>
      <c r="D43" s="97">
        <v>244053.85524696051</v>
      </c>
      <c r="E43" s="92">
        <f t="shared" si="8"/>
        <v>5.7862704613703659</v>
      </c>
      <c r="F43" s="98">
        <f t="shared" si="9"/>
        <v>1412161.6135990466</v>
      </c>
      <c r="G43" s="26"/>
      <c r="H43" s="97">
        <v>202781.15840916414</v>
      </c>
      <c r="I43" s="92">
        <f t="shared" si="10"/>
        <v>0.74504870867621431</v>
      </c>
      <c r="J43" s="98">
        <f t="shared" si="11"/>
        <v>151081.8402166146</v>
      </c>
      <c r="K43" s="26"/>
      <c r="L43" s="97">
        <v>246157.6972036697</v>
      </c>
      <c r="M43" s="92">
        <f t="shared" si="12"/>
        <v>3.7775639933990832</v>
      </c>
      <c r="N43" s="98">
        <f t="shared" si="13"/>
        <v>929876.45365461684</v>
      </c>
      <c r="O43" s="26"/>
      <c r="P43" s="80">
        <f t="shared" si="7"/>
        <v>1080958.2938712314</v>
      </c>
      <c r="Q43" s="26"/>
    </row>
    <row r="44" spans="2:18" x14ac:dyDescent="0.2">
      <c r="B44" s="27" t="s">
        <v>57</v>
      </c>
      <c r="C44" s="26"/>
      <c r="D44" s="97">
        <v>315935.68957049126</v>
      </c>
      <c r="E44" s="92">
        <f t="shared" si="8"/>
        <v>5.7862704613703659</v>
      </c>
      <c r="F44" s="98">
        <f t="shared" si="9"/>
        <v>1828089.3482544112</v>
      </c>
      <c r="G44" s="26"/>
      <c r="H44" s="97">
        <v>275478.35212166392</v>
      </c>
      <c r="I44" s="92">
        <f t="shared" si="10"/>
        <v>0.74504870867621431</v>
      </c>
      <c r="J44" s="98">
        <f t="shared" si="11"/>
        <v>205244.79051649716</v>
      </c>
      <c r="K44" s="26"/>
      <c r="L44" s="97">
        <v>318947.20737924136</v>
      </c>
      <c r="M44" s="92">
        <f t="shared" si="12"/>
        <v>3.7775639933990832</v>
      </c>
      <c r="N44" s="98">
        <f t="shared" si="13"/>
        <v>1204843.4863910126</v>
      </c>
      <c r="O44" s="26"/>
      <c r="P44" s="80">
        <f t="shared" si="7"/>
        <v>1410088.2769075097</v>
      </c>
      <c r="Q44" s="26"/>
    </row>
    <row r="45" spans="2:18" x14ac:dyDescent="0.2">
      <c r="B45" s="27" t="s">
        <v>58</v>
      </c>
      <c r="C45" s="26"/>
      <c r="D45" s="97">
        <v>300000.01315075858</v>
      </c>
      <c r="E45" s="92">
        <f t="shared" si="8"/>
        <v>5.7862704613703659</v>
      </c>
      <c r="F45" s="98">
        <f t="shared" si="9"/>
        <v>1735881.2145049556</v>
      </c>
      <c r="G45" s="26"/>
      <c r="H45" s="97">
        <v>254831.5385940432</v>
      </c>
      <c r="I45" s="92">
        <f t="shared" si="10"/>
        <v>0.74504870867621431</v>
      </c>
      <c r="J45" s="98">
        <f t="shared" si="11"/>
        <v>189861.90875946477</v>
      </c>
      <c r="K45" s="26"/>
      <c r="L45" s="97">
        <v>300874.64348982758</v>
      </c>
      <c r="M45" s="92">
        <f t="shared" si="12"/>
        <v>3.7775639933990832</v>
      </c>
      <c r="N45" s="98">
        <f t="shared" si="13"/>
        <v>1136573.2197739584</v>
      </c>
      <c r="O45" s="26"/>
      <c r="P45" s="80">
        <f t="shared" si="7"/>
        <v>1326435.1285334232</v>
      </c>
      <c r="Q45" s="26"/>
    </row>
    <row r="46" spans="2:18" x14ac:dyDescent="0.2">
      <c r="B46" s="27" t="s">
        <v>59</v>
      </c>
      <c r="C46" s="26"/>
      <c r="D46" s="97">
        <v>328433.43155580352</v>
      </c>
      <c r="E46" s="92">
        <f t="shared" si="8"/>
        <v>5.7862704613703659</v>
      </c>
      <c r="F46" s="98">
        <f t="shared" si="9"/>
        <v>1900404.6635378518</v>
      </c>
      <c r="G46" s="26"/>
      <c r="H46" s="97">
        <v>248152.48061219498</v>
      </c>
      <c r="I46" s="92">
        <f t="shared" si="10"/>
        <v>0.74504870867621431</v>
      </c>
      <c r="J46" s="98">
        <f t="shared" si="11"/>
        <v>184885.68523491517</v>
      </c>
      <c r="K46" s="26"/>
      <c r="L46" s="97">
        <v>332059.37239951879</v>
      </c>
      <c r="M46" s="92">
        <f t="shared" si="12"/>
        <v>3.7775639933990832</v>
      </c>
      <c r="N46" s="98">
        <f t="shared" si="13"/>
        <v>1254375.5288471195</v>
      </c>
      <c r="O46" s="26"/>
      <c r="P46" s="80">
        <f t="shared" si="7"/>
        <v>1439261.2140820348</v>
      </c>
      <c r="Q46" s="26"/>
    </row>
    <row r="47" spans="2:18" x14ac:dyDescent="0.2">
      <c r="B47" s="27" t="s">
        <v>60</v>
      </c>
      <c r="C47" s="26"/>
      <c r="D47" s="97">
        <v>273889.58777659823</v>
      </c>
      <c r="E47" s="92">
        <f t="shared" si="8"/>
        <v>5.7862704613703659</v>
      </c>
      <c r="F47" s="98">
        <f t="shared" si="9"/>
        <v>1584799.2314286365</v>
      </c>
      <c r="G47" s="26"/>
      <c r="H47" s="97">
        <v>213546.20424970565</v>
      </c>
      <c r="I47" s="92">
        <f t="shared" si="10"/>
        <v>0.74504870867621431</v>
      </c>
      <c r="J47" s="98">
        <f t="shared" si="11"/>
        <v>159102.3237189503</v>
      </c>
      <c r="K47" s="26"/>
      <c r="L47" s="97">
        <v>275342.91147304792</v>
      </c>
      <c r="M47" s="92">
        <f t="shared" si="12"/>
        <v>3.7775639933990832</v>
      </c>
      <c r="N47" s="98">
        <f t="shared" si="13"/>
        <v>1040125.4682182572</v>
      </c>
      <c r="O47" s="26"/>
      <c r="P47" s="80">
        <f t="shared" si="7"/>
        <v>1199227.7919372076</v>
      </c>
      <c r="Q47" s="26"/>
    </row>
    <row r="48" spans="2:18" x14ac:dyDescent="0.2">
      <c r="B48" s="27" t="s">
        <v>61</v>
      </c>
      <c r="C48" s="26"/>
      <c r="D48" s="97">
        <v>230624.24859543436</v>
      </c>
      <c r="E48" s="92">
        <f t="shared" si="8"/>
        <v>5.7862704613703659</v>
      </c>
      <c r="F48" s="98">
        <f t="shared" si="9"/>
        <v>1334454.2773234979</v>
      </c>
      <c r="G48" s="26"/>
      <c r="H48" s="97">
        <v>183099.4221682538</v>
      </c>
      <c r="I48" s="92">
        <f t="shared" si="10"/>
        <v>0.74504870867621431</v>
      </c>
      <c r="J48" s="98">
        <f t="shared" si="11"/>
        <v>136417.98804581849</v>
      </c>
      <c r="K48" s="26"/>
      <c r="L48" s="97">
        <v>233325.86549997929</v>
      </c>
      <c r="M48" s="92">
        <f t="shared" si="12"/>
        <v>3.7775639933990832</v>
      </c>
      <c r="N48" s="98">
        <f t="shared" si="13"/>
        <v>881403.3882413992</v>
      </c>
      <c r="O48" s="26"/>
      <c r="P48" s="80">
        <f t="shared" si="7"/>
        <v>1017821.3762872177</v>
      </c>
      <c r="Q48" s="26"/>
    </row>
    <row r="49" spans="2:18" x14ac:dyDescent="0.2">
      <c r="B49" s="27" t="s">
        <v>62</v>
      </c>
      <c r="C49" s="26"/>
      <c r="D49" s="97">
        <v>250724.10875111108</v>
      </c>
      <c r="E49" s="92">
        <f t="shared" si="8"/>
        <v>5.7862704613703659</v>
      </c>
      <c r="F49" s="98">
        <f t="shared" si="9"/>
        <v>1450757.5044199654</v>
      </c>
      <c r="G49" s="26"/>
      <c r="H49" s="97">
        <v>203228.99613063264</v>
      </c>
      <c r="I49" s="92">
        <f t="shared" si="10"/>
        <v>0.74504870867621431</v>
      </c>
      <c r="J49" s="98">
        <f t="shared" si="11"/>
        <v>151415.50113269119</v>
      </c>
      <c r="K49" s="26"/>
      <c r="L49" s="97">
        <v>254452.24629028494</v>
      </c>
      <c r="M49" s="92">
        <f t="shared" si="12"/>
        <v>3.7775639933990832</v>
      </c>
      <c r="N49" s="98">
        <f t="shared" si="13"/>
        <v>961209.64362569584</v>
      </c>
      <c r="O49" s="26"/>
      <c r="P49" s="80">
        <f t="shared" si="7"/>
        <v>1112625.144758387</v>
      </c>
      <c r="Q49" s="26"/>
    </row>
    <row r="50" spans="2:18" x14ac:dyDescent="0.2">
      <c r="B50" s="27" t="s">
        <v>63</v>
      </c>
      <c r="C50" s="26"/>
      <c r="D50" s="97">
        <v>258110.51199577274</v>
      </c>
      <c r="E50" s="92">
        <f t="shared" si="8"/>
        <v>5.7862704613703659</v>
      </c>
      <c r="F50" s="98">
        <f t="shared" si="9"/>
        <v>1493497.2313303214</v>
      </c>
      <c r="G50" s="26"/>
      <c r="H50" s="97">
        <v>220603.32211731889</v>
      </c>
      <c r="I50" s="92">
        <f t="shared" si="10"/>
        <v>0.74504870867621431</v>
      </c>
      <c r="J50" s="98">
        <f t="shared" si="11"/>
        <v>164360.2202731914</v>
      </c>
      <c r="K50" s="26"/>
      <c r="L50" s="97">
        <v>264421.77676039306</v>
      </c>
      <c r="M50" s="92">
        <f t="shared" si="12"/>
        <v>3.7775639933990832</v>
      </c>
      <c r="N50" s="98">
        <f t="shared" si="13"/>
        <v>998870.18296067126</v>
      </c>
      <c r="O50" s="26"/>
      <c r="P50" s="80">
        <f t="shared" si="7"/>
        <v>1163230.4032338627</v>
      </c>
      <c r="Q50" s="26"/>
    </row>
    <row r="51" spans="2:18" x14ac:dyDescent="0.2">
      <c r="B51" s="26"/>
      <c r="C51" s="26"/>
      <c r="D51" s="26"/>
      <c r="E51" s="26"/>
      <c r="F51" s="26"/>
      <c r="G51" s="26"/>
      <c r="H51" s="26"/>
      <c r="I51" s="26"/>
      <c r="J51" s="26"/>
      <c r="K51" s="26"/>
      <c r="L51" s="26"/>
      <c r="M51" s="26"/>
      <c r="N51" s="26"/>
      <c r="O51" s="26"/>
      <c r="P51" s="26"/>
      <c r="Q51" s="26"/>
    </row>
    <row r="52" spans="2:18" ht="13.5" thickBot="1" x14ac:dyDescent="0.25">
      <c r="B52" s="74" t="s">
        <v>3</v>
      </c>
      <c r="C52" s="26"/>
      <c r="D52" s="81">
        <f>SUM(D39:D50)</f>
        <v>3212144.4811783908</v>
      </c>
      <c r="E52" s="82">
        <f>IF(D52&lt;&gt;0,F52/D52,0)</f>
        <v>5.786270461370365</v>
      </c>
      <c r="F52" s="83">
        <f>SUM(F39:F50)</f>
        <v>18586336.729096361</v>
      </c>
      <c r="G52" s="26"/>
      <c r="H52" s="81">
        <f>SUM(H39:H50)</f>
        <v>2680444.1931934329</v>
      </c>
      <c r="I52" s="82">
        <f>IF(H52&lt;&gt;0,J52/H52,0)</f>
        <v>0.74504870867621431</v>
      </c>
      <c r="J52" s="83">
        <f>SUM(J39:J50)</f>
        <v>1997061.4848174243</v>
      </c>
      <c r="K52" s="26"/>
      <c r="L52" s="81">
        <f>SUM(L39:L50)</f>
        <v>3261401.7008679546</v>
      </c>
      <c r="M52" s="82">
        <f>IF(L52&lt;&gt;0,N52/L52,0)</f>
        <v>3.7775639933990823</v>
      </c>
      <c r="N52" s="83">
        <f>SUM(N39:N50)</f>
        <v>12320153.63320931</v>
      </c>
      <c r="O52" s="26"/>
      <c r="P52" s="83">
        <f>SUM(P39:P50)</f>
        <v>14317215.118026737</v>
      </c>
      <c r="Q52" s="26"/>
      <c r="R52" s="217"/>
    </row>
    <row r="53" spans="2:18" x14ac:dyDescent="0.2">
      <c r="B53" s="26"/>
      <c r="C53" s="26"/>
      <c r="D53" s="26"/>
      <c r="E53" s="26"/>
      <c r="F53" s="26"/>
      <c r="G53" s="26"/>
      <c r="H53" s="26"/>
      <c r="I53" s="26"/>
      <c r="J53" s="26"/>
      <c r="K53" s="26"/>
      <c r="L53" s="26"/>
      <c r="M53" s="26"/>
      <c r="N53" s="26"/>
      <c r="O53" s="26"/>
      <c r="P53" s="26"/>
      <c r="Q53" s="26"/>
    </row>
    <row r="54" spans="2:18" x14ac:dyDescent="0.2">
      <c r="B54" s="71" t="e">
        <f>#REF!</f>
        <v>#REF!</v>
      </c>
      <c r="C54" s="72"/>
      <c r="D54" s="240" t="s">
        <v>0</v>
      </c>
      <c r="E54" s="240"/>
      <c r="F54" s="240"/>
      <c r="G54" s="72"/>
      <c r="H54" s="240" t="s">
        <v>1</v>
      </c>
      <c r="I54" s="240"/>
      <c r="J54" s="240"/>
      <c r="K54" s="72"/>
      <c r="L54" s="240" t="s">
        <v>2</v>
      </c>
      <c r="M54" s="240"/>
      <c r="N54" s="240"/>
      <c r="O54" s="72"/>
      <c r="P54" s="71" t="s">
        <v>48</v>
      </c>
      <c r="Q54" s="26"/>
    </row>
    <row r="55" spans="2:18" x14ac:dyDescent="0.2">
      <c r="B55" s="74"/>
      <c r="C55" s="26"/>
      <c r="D55" s="90"/>
      <c r="E55" s="90"/>
      <c r="F55" s="90"/>
      <c r="G55" s="26"/>
      <c r="H55" s="90"/>
      <c r="I55" s="90"/>
      <c r="J55" s="90"/>
      <c r="K55" s="26"/>
      <c r="L55" s="90"/>
      <c r="M55" s="90"/>
      <c r="N55" s="90"/>
      <c r="O55" s="26"/>
      <c r="P55" s="90"/>
      <c r="Q55" s="26"/>
    </row>
    <row r="56" spans="2:18" x14ac:dyDescent="0.2">
      <c r="B56" s="74" t="s">
        <v>49</v>
      </c>
      <c r="C56" s="26"/>
      <c r="D56" s="90" t="s">
        <v>50</v>
      </c>
      <c r="E56" s="90" t="s">
        <v>9</v>
      </c>
      <c r="F56" s="90" t="s">
        <v>51</v>
      </c>
      <c r="G56" s="26"/>
      <c r="H56" s="90" t="s">
        <v>50</v>
      </c>
      <c r="I56" s="90" t="s">
        <v>9</v>
      </c>
      <c r="J56" s="90" t="s">
        <v>51</v>
      </c>
      <c r="K56" s="26"/>
      <c r="L56" s="90" t="s">
        <v>50</v>
      </c>
      <c r="M56" s="90" t="s">
        <v>9</v>
      </c>
      <c r="N56" s="90" t="s">
        <v>51</v>
      </c>
      <c r="O56" s="26"/>
      <c r="P56" s="90" t="s">
        <v>51</v>
      </c>
      <c r="Q56" s="26"/>
    </row>
    <row r="57" spans="2:18" x14ac:dyDescent="0.2">
      <c r="B57" s="26"/>
      <c r="C57" s="26"/>
      <c r="D57" s="26"/>
      <c r="E57" s="26"/>
      <c r="F57" s="26"/>
      <c r="G57" s="26"/>
      <c r="H57" s="26"/>
      <c r="I57" s="26"/>
      <c r="J57" s="26"/>
      <c r="K57" s="26"/>
      <c r="L57" s="26"/>
      <c r="M57" s="26"/>
      <c r="N57" s="26"/>
      <c r="O57" s="26"/>
      <c r="P57" s="26"/>
      <c r="Q57" s="26"/>
    </row>
    <row r="58" spans="2:18" x14ac:dyDescent="0.2">
      <c r="B58" s="27" t="s">
        <v>52</v>
      </c>
      <c r="C58" s="26"/>
      <c r="D58" s="97"/>
      <c r="E58" s="92"/>
      <c r="F58" s="98"/>
      <c r="G58" s="26"/>
      <c r="H58" s="97"/>
      <c r="I58" s="92"/>
      <c r="J58" s="98"/>
      <c r="K58" s="26"/>
      <c r="L58" s="97"/>
      <c r="M58" s="92"/>
      <c r="N58" s="98"/>
      <c r="O58" s="26"/>
      <c r="P58" s="80"/>
      <c r="Q58" s="26"/>
    </row>
    <row r="59" spans="2:18" x14ac:dyDescent="0.2">
      <c r="B59" s="27" t="s">
        <v>53</v>
      </c>
      <c r="C59" s="26"/>
      <c r="D59" s="97"/>
      <c r="E59" s="92"/>
      <c r="F59" s="98"/>
      <c r="G59" s="26"/>
      <c r="H59" s="97"/>
      <c r="I59" s="92"/>
      <c r="J59" s="98"/>
      <c r="K59" s="26"/>
      <c r="L59" s="97"/>
      <c r="M59" s="92"/>
      <c r="N59" s="98"/>
      <c r="O59" s="26"/>
      <c r="P59" s="80"/>
      <c r="Q59" s="26"/>
    </row>
    <row r="60" spans="2:18" x14ac:dyDescent="0.2">
      <c r="B60" s="27" t="s">
        <v>54</v>
      </c>
      <c r="C60" s="26"/>
      <c r="D60" s="97"/>
      <c r="E60" s="92"/>
      <c r="F60" s="98"/>
      <c r="G60" s="26"/>
      <c r="H60" s="97"/>
      <c r="I60" s="92"/>
      <c r="J60" s="98"/>
      <c r="K60" s="26"/>
      <c r="L60" s="97"/>
      <c r="M60" s="92"/>
      <c r="N60" s="98"/>
      <c r="O60" s="26"/>
      <c r="P60" s="80"/>
      <c r="Q60" s="26"/>
    </row>
    <row r="61" spans="2:18" x14ac:dyDescent="0.2">
      <c r="B61" s="27" t="s">
        <v>55</v>
      </c>
      <c r="C61" s="26"/>
      <c r="D61" s="97"/>
      <c r="E61" s="92"/>
      <c r="F61" s="98"/>
      <c r="G61" s="26"/>
      <c r="H61" s="97"/>
      <c r="I61" s="92"/>
      <c r="J61" s="98"/>
      <c r="K61" s="26"/>
      <c r="L61" s="97"/>
      <c r="M61" s="92"/>
      <c r="N61" s="98"/>
      <c r="O61" s="26"/>
      <c r="P61" s="80"/>
      <c r="Q61" s="26"/>
    </row>
    <row r="62" spans="2:18" x14ac:dyDescent="0.2">
      <c r="B62" s="27" t="s">
        <v>56</v>
      </c>
      <c r="C62" s="26"/>
      <c r="D62" s="97"/>
      <c r="E62" s="92"/>
      <c r="F62" s="98"/>
      <c r="G62" s="26"/>
      <c r="H62" s="97"/>
      <c r="I62" s="92"/>
      <c r="J62" s="98"/>
      <c r="K62" s="26"/>
      <c r="L62" s="97"/>
      <c r="M62" s="92"/>
      <c r="N62" s="98"/>
      <c r="O62" s="26"/>
      <c r="P62" s="80"/>
      <c r="Q62" s="26"/>
    </row>
    <row r="63" spans="2:18" x14ac:dyDescent="0.2">
      <c r="B63" s="27" t="s">
        <v>57</v>
      </c>
      <c r="C63" s="26"/>
      <c r="D63" s="97"/>
      <c r="E63" s="92"/>
      <c r="F63" s="98"/>
      <c r="G63" s="26"/>
      <c r="H63" s="97"/>
      <c r="I63" s="92"/>
      <c r="J63" s="98"/>
      <c r="K63" s="26"/>
      <c r="L63" s="97"/>
      <c r="M63" s="92"/>
      <c r="N63" s="98"/>
      <c r="O63" s="26"/>
      <c r="P63" s="80"/>
      <c r="Q63" s="26"/>
    </row>
    <row r="64" spans="2:18" x14ac:dyDescent="0.2">
      <c r="B64" s="27" t="s">
        <v>58</v>
      </c>
      <c r="C64" s="26"/>
      <c r="D64" s="97"/>
      <c r="E64" s="92"/>
      <c r="F64" s="98"/>
      <c r="G64" s="26"/>
      <c r="H64" s="97"/>
      <c r="I64" s="92"/>
      <c r="J64" s="98"/>
      <c r="K64" s="26"/>
      <c r="L64" s="97"/>
      <c r="M64" s="92"/>
      <c r="N64" s="98"/>
      <c r="O64" s="26"/>
      <c r="P64" s="80"/>
      <c r="Q64" s="26"/>
    </row>
    <row r="65" spans="2:17" x14ac:dyDescent="0.2">
      <c r="B65" s="27" t="s">
        <v>59</v>
      </c>
      <c r="C65" s="26"/>
      <c r="D65" s="97"/>
      <c r="E65" s="92"/>
      <c r="F65" s="98"/>
      <c r="G65" s="26"/>
      <c r="H65" s="97"/>
      <c r="I65" s="92"/>
      <c r="J65" s="98"/>
      <c r="K65" s="26"/>
      <c r="L65" s="97"/>
      <c r="M65" s="92"/>
      <c r="N65" s="98"/>
      <c r="O65" s="26"/>
      <c r="P65" s="80"/>
      <c r="Q65" s="26"/>
    </row>
    <row r="66" spans="2:17" x14ac:dyDescent="0.2">
      <c r="B66" s="27" t="s">
        <v>60</v>
      </c>
      <c r="C66" s="26"/>
      <c r="D66" s="97"/>
      <c r="E66" s="92"/>
      <c r="F66" s="98"/>
      <c r="G66" s="26"/>
      <c r="H66" s="97"/>
      <c r="I66" s="92"/>
      <c r="J66" s="98"/>
      <c r="K66" s="26"/>
      <c r="L66" s="97"/>
      <c r="M66" s="92"/>
      <c r="N66" s="98"/>
      <c r="O66" s="26"/>
      <c r="P66" s="80"/>
      <c r="Q66" s="26"/>
    </row>
    <row r="67" spans="2:17" x14ac:dyDescent="0.2">
      <c r="B67" s="27" t="s">
        <v>61</v>
      </c>
      <c r="C67" s="26"/>
      <c r="D67" s="97"/>
      <c r="E67" s="92"/>
      <c r="F67" s="98"/>
      <c r="G67" s="26"/>
      <c r="H67" s="97"/>
      <c r="I67" s="92"/>
      <c r="J67" s="98"/>
      <c r="K67" s="26"/>
      <c r="L67" s="97"/>
      <c r="M67" s="92"/>
      <c r="N67" s="98"/>
      <c r="O67" s="26"/>
      <c r="P67" s="80"/>
      <c r="Q67" s="26"/>
    </row>
    <row r="68" spans="2:17" x14ac:dyDescent="0.2">
      <c r="B68" s="27" t="s">
        <v>62</v>
      </c>
      <c r="C68" s="26"/>
      <c r="D68" s="97"/>
      <c r="E68" s="92"/>
      <c r="F68" s="98"/>
      <c r="G68" s="26"/>
      <c r="H68" s="97"/>
      <c r="I68" s="92"/>
      <c r="J68" s="98"/>
      <c r="K68" s="26"/>
      <c r="L68" s="97"/>
      <c r="M68" s="92"/>
      <c r="N68" s="98"/>
      <c r="O68" s="26"/>
      <c r="P68" s="80"/>
      <c r="Q68" s="26"/>
    </row>
    <row r="69" spans="2:17" x14ac:dyDescent="0.2">
      <c r="B69" s="27" t="s">
        <v>63</v>
      </c>
      <c r="C69" s="26"/>
      <c r="D69" s="97"/>
      <c r="E69" s="92"/>
      <c r="F69" s="98"/>
      <c r="G69" s="26"/>
      <c r="H69" s="97"/>
      <c r="I69" s="92"/>
      <c r="J69" s="98"/>
      <c r="K69" s="26"/>
      <c r="L69" s="97"/>
      <c r="M69" s="92"/>
      <c r="N69" s="98"/>
      <c r="O69" s="26"/>
      <c r="P69" s="80"/>
      <c r="Q69" s="26"/>
    </row>
    <row r="70" spans="2:17" x14ac:dyDescent="0.2">
      <c r="B70" s="26"/>
      <c r="C70" s="26"/>
      <c r="D70" s="26"/>
      <c r="E70" s="26"/>
      <c r="F70" s="26"/>
      <c r="G70" s="26"/>
      <c r="H70" s="26"/>
      <c r="I70" s="26"/>
      <c r="J70" s="26"/>
      <c r="K70" s="26"/>
      <c r="L70" s="26"/>
      <c r="M70" s="26"/>
      <c r="N70" s="26"/>
      <c r="O70" s="26"/>
      <c r="P70" s="26"/>
      <c r="Q70" s="26"/>
    </row>
    <row r="71" spans="2:17" ht="13.5" thickBot="1" x14ac:dyDescent="0.25">
      <c r="B71" s="74" t="s">
        <v>3</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x14ac:dyDescent="0.2">
      <c r="B72" s="26"/>
      <c r="C72" s="26"/>
      <c r="D72" s="26"/>
      <c r="E72" s="26"/>
      <c r="F72" s="26"/>
      <c r="G72" s="26"/>
      <c r="H72" s="26"/>
      <c r="I72" s="26"/>
      <c r="J72" s="26"/>
      <c r="K72" s="26"/>
      <c r="L72" s="26"/>
      <c r="M72" s="26"/>
      <c r="N72" s="26"/>
      <c r="O72" s="26"/>
      <c r="P72" s="26"/>
      <c r="Q72" s="26"/>
    </row>
    <row r="73" spans="2:17" x14ac:dyDescent="0.2">
      <c r="B73" s="71" t="e">
        <f>#REF!</f>
        <v>#REF!</v>
      </c>
      <c r="C73" s="72"/>
      <c r="D73" s="240" t="s">
        <v>0</v>
      </c>
      <c r="E73" s="240"/>
      <c r="F73" s="240"/>
      <c r="G73" s="72"/>
      <c r="H73" s="240" t="s">
        <v>1</v>
      </c>
      <c r="I73" s="240"/>
      <c r="J73" s="240"/>
      <c r="K73" s="72"/>
      <c r="L73" s="240" t="s">
        <v>2</v>
      </c>
      <c r="M73" s="240"/>
      <c r="N73" s="240"/>
      <c r="O73" s="72"/>
      <c r="P73" s="71" t="s">
        <v>48</v>
      </c>
      <c r="Q73" s="26"/>
    </row>
    <row r="74" spans="2:17" x14ac:dyDescent="0.2">
      <c r="B74" s="74"/>
      <c r="C74" s="26"/>
      <c r="D74" s="90"/>
      <c r="E74" s="90"/>
      <c r="F74" s="90"/>
      <c r="G74" s="26"/>
      <c r="H74" s="90"/>
      <c r="I74" s="90"/>
      <c r="J74" s="90"/>
      <c r="K74" s="26"/>
      <c r="L74" s="90"/>
      <c r="M74" s="90"/>
      <c r="N74" s="90"/>
      <c r="O74" s="26"/>
      <c r="P74" s="90"/>
      <c r="Q74" s="26"/>
    </row>
    <row r="75" spans="2:17" x14ac:dyDescent="0.2">
      <c r="B75" s="74" t="s">
        <v>49</v>
      </c>
      <c r="C75" s="26"/>
      <c r="D75" s="90" t="s">
        <v>50</v>
      </c>
      <c r="E75" s="90" t="s">
        <v>9</v>
      </c>
      <c r="F75" s="90" t="s">
        <v>51</v>
      </c>
      <c r="G75" s="26"/>
      <c r="H75" s="90" t="s">
        <v>50</v>
      </c>
      <c r="I75" s="90" t="s">
        <v>9</v>
      </c>
      <c r="J75" s="90" t="s">
        <v>51</v>
      </c>
      <c r="K75" s="26"/>
      <c r="L75" s="90" t="s">
        <v>50</v>
      </c>
      <c r="M75" s="90" t="s">
        <v>9</v>
      </c>
      <c r="N75" s="90" t="s">
        <v>51</v>
      </c>
      <c r="O75" s="26"/>
      <c r="P75" s="90" t="s">
        <v>51</v>
      </c>
      <c r="Q75" s="26"/>
    </row>
    <row r="76" spans="2:17" x14ac:dyDescent="0.2">
      <c r="B76" s="26"/>
      <c r="C76" s="26"/>
      <c r="D76" s="26"/>
      <c r="E76" s="26"/>
      <c r="F76" s="26"/>
      <c r="G76" s="26"/>
      <c r="H76" s="26"/>
      <c r="I76" s="26"/>
      <c r="J76" s="26"/>
      <c r="K76" s="26"/>
      <c r="L76" s="26"/>
      <c r="M76" s="26"/>
      <c r="N76" s="26"/>
      <c r="O76" s="26"/>
      <c r="P76" s="26"/>
      <c r="Q76" s="26"/>
    </row>
    <row r="77" spans="2:17" x14ac:dyDescent="0.2">
      <c r="B77" s="27" t="s">
        <v>52</v>
      </c>
      <c r="C77" s="26"/>
      <c r="D77" s="97"/>
      <c r="E77" s="92"/>
      <c r="F77" s="98"/>
      <c r="G77" s="26"/>
      <c r="H77" s="97"/>
      <c r="I77" s="92"/>
      <c r="J77" s="98"/>
      <c r="K77" s="26"/>
      <c r="L77" s="97"/>
      <c r="M77" s="92"/>
      <c r="N77" s="98"/>
      <c r="O77" s="26"/>
      <c r="P77" s="80"/>
      <c r="Q77" s="26"/>
    </row>
    <row r="78" spans="2:17" x14ac:dyDescent="0.2">
      <c r="B78" s="27" t="s">
        <v>53</v>
      </c>
      <c r="C78" s="26"/>
      <c r="D78" s="97"/>
      <c r="E78" s="92"/>
      <c r="F78" s="98"/>
      <c r="G78" s="26"/>
      <c r="H78" s="97"/>
      <c r="I78" s="92"/>
      <c r="J78" s="98"/>
      <c r="K78" s="26"/>
      <c r="L78" s="97"/>
      <c r="M78" s="92"/>
      <c r="N78" s="98"/>
      <c r="O78" s="26"/>
      <c r="P78" s="80"/>
      <c r="Q78" s="26"/>
    </row>
    <row r="79" spans="2:17" x14ac:dyDescent="0.2">
      <c r="B79" s="27" t="s">
        <v>54</v>
      </c>
      <c r="C79" s="26"/>
      <c r="D79" s="97"/>
      <c r="E79" s="92"/>
      <c r="F79" s="98"/>
      <c r="G79" s="26"/>
      <c r="H79" s="97"/>
      <c r="I79" s="92"/>
      <c r="J79" s="98"/>
      <c r="K79" s="26"/>
      <c r="L79" s="97"/>
      <c r="M79" s="92"/>
      <c r="N79" s="98"/>
      <c r="O79" s="26"/>
      <c r="P79" s="80"/>
      <c r="Q79" s="26"/>
    </row>
    <row r="80" spans="2:17" x14ac:dyDescent="0.2">
      <c r="B80" s="27" t="s">
        <v>55</v>
      </c>
      <c r="C80" s="26"/>
      <c r="D80" s="97"/>
      <c r="E80" s="92"/>
      <c r="F80" s="98"/>
      <c r="G80" s="26"/>
      <c r="H80" s="97"/>
      <c r="I80" s="92"/>
      <c r="J80" s="98"/>
      <c r="K80" s="26"/>
      <c r="L80" s="97"/>
      <c r="M80" s="92"/>
      <c r="N80" s="98"/>
      <c r="O80" s="26"/>
      <c r="P80" s="80"/>
      <c r="Q80" s="26"/>
    </row>
    <row r="81" spans="2:17" x14ac:dyDescent="0.2">
      <c r="B81" s="27" t="s">
        <v>56</v>
      </c>
      <c r="C81" s="26"/>
      <c r="D81" s="97"/>
      <c r="E81" s="92"/>
      <c r="F81" s="98"/>
      <c r="G81" s="26"/>
      <c r="H81" s="97"/>
      <c r="I81" s="92"/>
      <c r="J81" s="98"/>
      <c r="K81" s="26"/>
      <c r="L81" s="97"/>
      <c r="M81" s="92"/>
      <c r="N81" s="98"/>
      <c r="O81" s="26"/>
      <c r="P81" s="80"/>
      <c r="Q81" s="26"/>
    </row>
    <row r="82" spans="2:17" x14ac:dyDescent="0.2">
      <c r="B82" s="27" t="s">
        <v>57</v>
      </c>
      <c r="C82" s="26"/>
      <c r="D82" s="97"/>
      <c r="E82" s="92"/>
      <c r="F82" s="98"/>
      <c r="G82" s="26"/>
      <c r="H82" s="97"/>
      <c r="I82" s="92"/>
      <c r="J82" s="98"/>
      <c r="K82" s="26"/>
      <c r="L82" s="97"/>
      <c r="M82" s="92"/>
      <c r="N82" s="98"/>
      <c r="O82" s="26"/>
      <c r="P82" s="80"/>
      <c r="Q82" s="26"/>
    </row>
    <row r="83" spans="2:17" x14ac:dyDescent="0.2">
      <c r="B83" s="27" t="s">
        <v>58</v>
      </c>
      <c r="C83" s="26"/>
      <c r="D83" s="97"/>
      <c r="E83" s="92"/>
      <c r="F83" s="98"/>
      <c r="G83" s="26"/>
      <c r="H83" s="97"/>
      <c r="I83" s="92"/>
      <c r="J83" s="98"/>
      <c r="K83" s="26"/>
      <c r="L83" s="97"/>
      <c r="M83" s="92"/>
      <c r="N83" s="98"/>
      <c r="O83" s="26"/>
      <c r="P83" s="80"/>
      <c r="Q83" s="26"/>
    </row>
    <row r="84" spans="2:17" x14ac:dyDescent="0.2">
      <c r="B84" s="27" t="s">
        <v>59</v>
      </c>
      <c r="C84" s="26"/>
      <c r="D84" s="97"/>
      <c r="E84" s="92"/>
      <c r="F84" s="98"/>
      <c r="G84" s="26"/>
      <c r="H84" s="97"/>
      <c r="I84" s="92"/>
      <c r="J84" s="98"/>
      <c r="K84" s="26"/>
      <c r="L84" s="97"/>
      <c r="M84" s="92"/>
      <c r="N84" s="98"/>
      <c r="O84" s="26"/>
      <c r="P84" s="80"/>
      <c r="Q84" s="26"/>
    </row>
    <row r="85" spans="2:17" x14ac:dyDescent="0.2">
      <c r="B85" s="27" t="s">
        <v>60</v>
      </c>
      <c r="C85" s="26"/>
      <c r="D85" s="97"/>
      <c r="E85" s="92"/>
      <c r="F85" s="98"/>
      <c r="G85" s="26"/>
      <c r="H85" s="97"/>
      <c r="I85" s="92"/>
      <c r="J85" s="98"/>
      <c r="K85" s="26"/>
      <c r="L85" s="97"/>
      <c r="M85" s="92"/>
      <c r="N85" s="98"/>
      <c r="O85" s="26"/>
      <c r="P85" s="80"/>
      <c r="Q85" s="26"/>
    </row>
    <row r="86" spans="2:17" x14ac:dyDescent="0.2">
      <c r="B86" s="27" t="s">
        <v>61</v>
      </c>
      <c r="C86" s="26"/>
      <c r="D86" s="97"/>
      <c r="E86" s="92"/>
      <c r="F86" s="98"/>
      <c r="G86" s="26"/>
      <c r="H86" s="97"/>
      <c r="I86" s="92"/>
      <c r="J86" s="98"/>
      <c r="K86" s="26"/>
      <c r="L86" s="97"/>
      <c r="M86" s="92"/>
      <c r="N86" s="98"/>
      <c r="O86" s="26"/>
      <c r="P86" s="80"/>
      <c r="Q86" s="26"/>
    </row>
    <row r="87" spans="2:17" x14ac:dyDescent="0.2">
      <c r="B87" s="27" t="s">
        <v>62</v>
      </c>
      <c r="C87" s="26"/>
      <c r="D87" s="97"/>
      <c r="E87" s="92"/>
      <c r="F87" s="98"/>
      <c r="G87" s="26"/>
      <c r="H87" s="97"/>
      <c r="I87" s="92"/>
      <c r="J87" s="98"/>
      <c r="K87" s="26"/>
      <c r="L87" s="97"/>
      <c r="M87" s="92"/>
      <c r="N87" s="98"/>
      <c r="O87" s="26"/>
      <c r="P87" s="80"/>
      <c r="Q87" s="26"/>
    </row>
    <row r="88" spans="2:17" x14ac:dyDescent="0.2">
      <c r="B88" s="27" t="s">
        <v>63</v>
      </c>
      <c r="C88" s="26"/>
      <c r="D88" s="97"/>
      <c r="E88" s="92"/>
      <c r="F88" s="98"/>
      <c r="G88" s="26"/>
      <c r="H88" s="97"/>
      <c r="I88" s="92"/>
      <c r="J88" s="98"/>
      <c r="K88" s="26"/>
      <c r="L88" s="97"/>
      <c r="M88" s="92"/>
      <c r="N88" s="98"/>
      <c r="O88" s="26"/>
      <c r="P88" s="80"/>
      <c r="Q88" s="26"/>
    </row>
    <row r="89" spans="2:17" x14ac:dyDescent="0.2">
      <c r="B89" s="26"/>
      <c r="C89" s="26"/>
      <c r="D89" s="26"/>
      <c r="E89" s="26"/>
      <c r="F89" s="26"/>
      <c r="G89" s="26"/>
      <c r="H89" s="26"/>
      <c r="I89" s="26"/>
      <c r="J89" s="26"/>
      <c r="K89" s="26"/>
      <c r="L89" s="26"/>
      <c r="M89" s="26"/>
      <c r="N89" s="26"/>
      <c r="O89" s="26"/>
      <c r="P89" s="26"/>
      <c r="Q89" s="26"/>
    </row>
    <row r="90" spans="2:17" ht="13.5" thickBot="1" x14ac:dyDescent="0.25">
      <c r="B90" s="74" t="s">
        <v>3</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x14ac:dyDescent="0.2">
      <c r="B91" s="26"/>
      <c r="C91" s="26"/>
      <c r="D91" s="26"/>
      <c r="E91" s="26"/>
      <c r="F91" s="26"/>
      <c r="G91" s="26"/>
      <c r="H91" s="26"/>
      <c r="I91" s="26"/>
      <c r="J91" s="26"/>
      <c r="K91" s="26"/>
      <c r="L91" s="26"/>
      <c r="M91" s="26"/>
      <c r="N91" s="26"/>
      <c r="O91" s="26"/>
      <c r="P91" s="26"/>
      <c r="Q91" s="26"/>
    </row>
    <row r="92" spans="2:17" x14ac:dyDescent="0.2">
      <c r="B92" s="71" t="s">
        <v>3</v>
      </c>
      <c r="C92" s="72"/>
      <c r="D92" s="240" t="s">
        <v>0</v>
      </c>
      <c r="E92" s="240"/>
      <c r="F92" s="240"/>
      <c r="G92" s="72"/>
      <c r="H92" s="240" t="s">
        <v>1</v>
      </c>
      <c r="I92" s="240"/>
      <c r="J92" s="240"/>
      <c r="K92" s="72"/>
      <c r="L92" s="240" t="s">
        <v>2</v>
      </c>
      <c r="M92" s="240"/>
      <c r="N92" s="240"/>
      <c r="O92" s="72"/>
      <c r="P92" s="71" t="s">
        <v>48</v>
      </c>
      <c r="Q92" s="26"/>
    </row>
    <row r="93" spans="2:17" x14ac:dyDescent="0.2">
      <c r="B93" s="26"/>
      <c r="C93" s="26"/>
      <c r="D93" s="241"/>
      <c r="E93" s="241"/>
      <c r="F93" s="241"/>
      <c r="G93" s="26"/>
      <c r="H93" s="241"/>
      <c r="I93" s="241"/>
      <c r="J93" s="241"/>
      <c r="K93" s="26"/>
      <c r="L93" s="241"/>
      <c r="M93" s="241"/>
      <c r="N93" s="241"/>
      <c r="O93" s="26"/>
      <c r="P93" s="90"/>
      <c r="Q93" s="26"/>
    </row>
    <row r="94" spans="2:17" x14ac:dyDescent="0.2">
      <c r="B94" s="74" t="s">
        <v>49</v>
      </c>
      <c r="C94" s="26"/>
      <c r="D94" s="90" t="s">
        <v>50</v>
      </c>
      <c r="E94" s="90" t="s">
        <v>9</v>
      </c>
      <c r="F94" s="90" t="s">
        <v>51</v>
      </c>
      <c r="G94" s="26"/>
      <c r="H94" s="90" t="s">
        <v>50</v>
      </c>
      <c r="I94" s="90" t="s">
        <v>9</v>
      </c>
      <c r="J94" s="90" t="s">
        <v>51</v>
      </c>
      <c r="K94" s="26"/>
      <c r="L94" s="90" t="s">
        <v>50</v>
      </c>
      <c r="M94" s="90" t="s">
        <v>9</v>
      </c>
      <c r="N94" s="90" t="s">
        <v>51</v>
      </c>
      <c r="O94" s="26"/>
      <c r="P94" s="90" t="s">
        <v>51</v>
      </c>
      <c r="Q94" s="26"/>
    </row>
    <row r="95" spans="2:17" x14ac:dyDescent="0.2">
      <c r="B95" s="26"/>
      <c r="C95" s="26"/>
      <c r="D95" s="26"/>
      <c r="E95" s="26"/>
      <c r="F95" s="26"/>
      <c r="G95" s="26"/>
      <c r="H95" s="26"/>
      <c r="I95" s="26"/>
      <c r="J95" s="26"/>
      <c r="K95" s="26"/>
      <c r="L95" s="26"/>
      <c r="M95" s="26"/>
      <c r="N95" s="26"/>
      <c r="O95" s="26"/>
      <c r="P95" s="26"/>
      <c r="Q95" s="26"/>
    </row>
    <row r="96" spans="2:17" x14ac:dyDescent="0.2">
      <c r="B96" s="27" t="s">
        <v>52</v>
      </c>
      <c r="C96" s="26"/>
      <c r="D96" s="91">
        <f>D20+D39+D58+D77</f>
        <v>604117.93169739202</v>
      </c>
      <c r="E96" s="92">
        <f t="shared" ref="E96:E107" si="14">IF(D96&lt;&gt;0,F96/D96,0)</f>
        <v>6.3046649414852487</v>
      </c>
      <c r="F96" s="80">
        <f>F20+F39+F58+F77</f>
        <v>3808761.1444951277</v>
      </c>
      <c r="G96" s="26"/>
      <c r="H96" s="91">
        <f>H20+H39+H58+H77</f>
        <v>423065.1171587024</v>
      </c>
      <c r="I96" s="92">
        <f t="shared" ref="I96:I107" si="15">IF(H96&lt;&gt;0,J96/H96,0)</f>
        <v>0.88012453991390038</v>
      </c>
      <c r="J96" s="80">
        <f>J20+J39+J58+J77</f>
        <v>372349.9915929233</v>
      </c>
      <c r="K96" s="26"/>
      <c r="L96" s="91">
        <f>L20+L39+L58+L77</f>
        <v>640467.05598676612</v>
      </c>
      <c r="M96" s="92">
        <f t="shared" ref="M96:M107" si="16">IF(L96&lt;&gt;0,N96/L96,0)</f>
        <v>3.7173403016125874</v>
      </c>
      <c r="N96" s="80">
        <f>N20+N39+N58+N77</f>
        <v>2380833.9990747711</v>
      </c>
      <c r="O96" s="26"/>
      <c r="P96" s="80">
        <f t="shared" ref="P96:P107" si="17">J96+N96</f>
        <v>2753183.9906676942</v>
      </c>
      <c r="Q96" s="26"/>
    </row>
    <row r="97" spans="2:17" x14ac:dyDescent="0.2">
      <c r="B97" s="27" t="s">
        <v>53</v>
      </c>
      <c r="C97" s="26"/>
      <c r="D97" s="91">
        <f t="shared" ref="D97:D107" si="18">D21+D40+D59+D78</f>
        <v>598176.29833276919</v>
      </c>
      <c r="E97" s="92">
        <f t="shared" si="14"/>
        <v>6.2999721184892357</v>
      </c>
      <c r="F97" s="80">
        <f t="shared" ref="F97:F107" si="19">F21+F40+F59+F78</f>
        <v>3768494.0014375448</v>
      </c>
      <c r="G97" s="26"/>
      <c r="H97" s="91">
        <f t="shared" ref="H97:H107" si="20">H21+H40+H59+H78</f>
        <v>410170.89168304775</v>
      </c>
      <c r="I97" s="92">
        <f t="shared" si="15"/>
        <v>0.89137655348158606</v>
      </c>
      <c r="J97" s="80">
        <f t="shared" ref="J97:J107" si="21">J21+J40+J59+J78</f>
        <v>365616.71576690406</v>
      </c>
      <c r="K97" s="26"/>
      <c r="L97" s="91">
        <f t="shared" ref="L97:L107" si="22">L21+L40+L59+L78</f>
        <v>619458.9351027126</v>
      </c>
      <c r="M97" s="92">
        <f t="shared" si="16"/>
        <v>3.7166396267336421</v>
      </c>
      <c r="N97" s="80">
        <f t="shared" ref="N97:N107" si="23">N21+N40+N59+N78</f>
        <v>2302305.6253369651</v>
      </c>
      <c r="O97" s="26"/>
      <c r="P97" s="80">
        <f t="shared" si="17"/>
        <v>2667922.341103869</v>
      </c>
      <c r="Q97" s="26"/>
    </row>
    <row r="98" spans="2:17" x14ac:dyDescent="0.2">
      <c r="B98" s="27" t="s">
        <v>54</v>
      </c>
      <c r="C98" s="26"/>
      <c r="D98" s="91">
        <f t="shared" si="18"/>
        <v>548300.03926287626</v>
      </c>
      <c r="E98" s="92">
        <f t="shared" si="14"/>
        <v>6.337569447115647</v>
      </c>
      <c r="F98" s="80">
        <f>F22+F41+F60+F79</f>
        <v>3474889.5766847143</v>
      </c>
      <c r="G98" s="26"/>
      <c r="H98" s="91">
        <f t="shared" si="20"/>
        <v>369863.78389875556</v>
      </c>
      <c r="I98" s="92">
        <f t="shared" si="15"/>
        <v>0.90022286886262803</v>
      </c>
      <c r="J98" s="80">
        <f t="shared" si="21"/>
        <v>332959.83662972483</v>
      </c>
      <c r="K98" s="26"/>
      <c r="L98" s="91">
        <f t="shared" si="22"/>
        <v>561505.99338128546</v>
      </c>
      <c r="M98" s="92">
        <f t="shared" si="16"/>
        <v>3.7135610209962531</v>
      </c>
      <c r="N98" s="80">
        <f t="shared" si="23"/>
        <v>2085186.7700765217</v>
      </c>
      <c r="O98" s="26"/>
      <c r="P98" s="80">
        <f t="shared" si="17"/>
        <v>2418146.6067062467</v>
      </c>
      <c r="Q98" s="26"/>
    </row>
    <row r="99" spans="2:17" x14ac:dyDescent="0.2">
      <c r="B99" s="27" t="s">
        <v>55</v>
      </c>
      <c r="C99" s="26"/>
      <c r="D99" s="91">
        <f t="shared" si="18"/>
        <v>511431.8790023718</v>
      </c>
      <c r="E99" s="92">
        <f t="shared" si="14"/>
        <v>6.3613827568215182</v>
      </c>
      <c r="F99" s="80">
        <f t="shared" si="19"/>
        <v>3253413.9363745172</v>
      </c>
      <c r="G99" s="26"/>
      <c r="H99" s="91">
        <f t="shared" si="20"/>
        <v>344752.78685181291</v>
      </c>
      <c r="I99" s="92">
        <f t="shared" si="15"/>
        <v>0.90414584360094874</v>
      </c>
      <c r="J99" s="80">
        <f t="shared" si="21"/>
        <v>311706.79930191045</v>
      </c>
      <c r="K99" s="26"/>
      <c r="L99" s="91">
        <f t="shared" si="22"/>
        <v>518100.32565641357</v>
      </c>
      <c r="M99" s="92">
        <f t="shared" si="16"/>
        <v>3.7114225685246747</v>
      </c>
      <c r="N99" s="80">
        <f t="shared" si="23"/>
        <v>1922889.2414011969</v>
      </c>
      <c r="O99" s="26"/>
      <c r="P99" s="80">
        <f t="shared" si="17"/>
        <v>2234596.0407031076</v>
      </c>
      <c r="Q99" s="26"/>
    </row>
    <row r="100" spans="2:17" x14ac:dyDescent="0.2">
      <c r="B100" s="27" t="s">
        <v>56</v>
      </c>
      <c r="C100" s="26"/>
      <c r="D100" s="91">
        <f t="shared" si="18"/>
        <v>615589.23660183768</v>
      </c>
      <c r="E100" s="92">
        <f t="shared" si="14"/>
        <v>6.373039334331029</v>
      </c>
      <c r="F100" s="80">
        <f t="shared" si="19"/>
        <v>3923174.4186543222</v>
      </c>
      <c r="G100" s="26"/>
      <c r="H100" s="91">
        <f t="shared" si="20"/>
        <v>416081.38038279</v>
      </c>
      <c r="I100" s="92">
        <f t="shared" si="15"/>
        <v>0.92080494838564053</v>
      </c>
      <c r="J100" s="80">
        <f t="shared" si="21"/>
        <v>383129.79398760101</v>
      </c>
      <c r="K100" s="26"/>
      <c r="L100" s="91">
        <f t="shared" si="22"/>
        <v>629222.45332775987</v>
      </c>
      <c r="M100" s="92">
        <f t="shared" si="16"/>
        <v>3.7091452085246952</v>
      </c>
      <c r="N100" s="80">
        <f t="shared" si="23"/>
        <v>2333877.4478568141</v>
      </c>
      <c r="O100" s="26"/>
      <c r="P100" s="80">
        <f t="shared" si="17"/>
        <v>2717007.2418444152</v>
      </c>
      <c r="Q100" s="26"/>
    </row>
    <row r="101" spans="2:17" x14ac:dyDescent="0.2">
      <c r="B101" s="27" t="s">
        <v>57</v>
      </c>
      <c r="C101" s="26"/>
      <c r="D101" s="91">
        <f t="shared" si="18"/>
        <v>738837.83511591458</v>
      </c>
      <c r="E101" s="92">
        <f t="shared" si="14"/>
        <v>6.3427493184661845</v>
      </c>
      <c r="F101" s="80">
        <f t="shared" si="19"/>
        <v>4686263.1751384987</v>
      </c>
      <c r="G101" s="26"/>
      <c r="H101" s="91">
        <f t="shared" si="20"/>
        <v>541547.99706969806</v>
      </c>
      <c r="I101" s="92">
        <f t="shared" si="15"/>
        <v>0.91349292459094056</v>
      </c>
      <c r="J101" s="80">
        <f t="shared" si="21"/>
        <v>494700.26364956459</v>
      </c>
      <c r="K101" s="26"/>
      <c r="L101" s="91">
        <f t="shared" si="22"/>
        <v>776270.36970779323</v>
      </c>
      <c r="M101" s="92">
        <f t="shared" si="16"/>
        <v>3.7113549123028231</v>
      </c>
      <c r="N101" s="80">
        <f t="shared" si="23"/>
        <v>2881014.8498901469</v>
      </c>
      <c r="O101" s="26"/>
      <c r="P101" s="80">
        <f t="shared" si="17"/>
        <v>3375715.1135397116</v>
      </c>
      <c r="Q101" s="26"/>
    </row>
    <row r="102" spans="2:17" x14ac:dyDescent="0.2">
      <c r="B102" s="27" t="s">
        <v>58</v>
      </c>
      <c r="C102" s="26"/>
      <c r="D102" s="91">
        <f t="shared" si="18"/>
        <v>762665.39415351325</v>
      </c>
      <c r="E102" s="92">
        <f t="shared" si="14"/>
        <v>6.376051588041693</v>
      </c>
      <c r="F102" s="80">
        <f t="shared" si="19"/>
        <v>4862793.897536952</v>
      </c>
      <c r="G102" s="26"/>
      <c r="H102" s="91">
        <f t="shared" si="20"/>
        <v>533489.60224787728</v>
      </c>
      <c r="I102" s="92">
        <f t="shared" si="15"/>
        <v>0.92412718147931494</v>
      </c>
      <c r="J102" s="80">
        <f t="shared" si="21"/>
        <v>493012.24247385166</v>
      </c>
      <c r="K102" s="26"/>
      <c r="L102" s="91">
        <f t="shared" si="22"/>
        <v>775350.3487873791</v>
      </c>
      <c r="M102" s="92">
        <f t="shared" si="16"/>
        <v>3.7087901389155302</v>
      </c>
      <c r="N102" s="80">
        <f t="shared" si="23"/>
        <v>2875611.7277873484</v>
      </c>
      <c r="O102" s="26"/>
      <c r="P102" s="80">
        <f t="shared" si="17"/>
        <v>3368623.9702612003</v>
      </c>
      <c r="Q102" s="26"/>
    </row>
    <row r="103" spans="2:17" x14ac:dyDescent="0.2">
      <c r="B103" s="27" t="s">
        <v>59</v>
      </c>
      <c r="C103" s="26"/>
      <c r="D103" s="91">
        <f t="shared" si="18"/>
        <v>778315.0869334864</v>
      </c>
      <c r="E103" s="92">
        <f t="shared" si="14"/>
        <v>6.3482244298680213</v>
      </c>
      <c r="F103" s="80">
        <f t="shared" si="19"/>
        <v>4940918.8490060112</v>
      </c>
      <c r="G103" s="26"/>
      <c r="H103" s="91">
        <f t="shared" si="20"/>
        <v>518368.48101215187</v>
      </c>
      <c r="I103" s="92">
        <f t="shared" si="15"/>
        <v>0.92376749283917203</v>
      </c>
      <c r="J103" s="80">
        <f t="shared" si="21"/>
        <v>478851.95207144547</v>
      </c>
      <c r="K103" s="26"/>
      <c r="L103" s="91">
        <f t="shared" si="22"/>
        <v>799050.74944304535</v>
      </c>
      <c r="M103" s="92">
        <f t="shared" si="16"/>
        <v>3.7118826737067678</v>
      </c>
      <c r="N103" s="80">
        <f t="shared" si="23"/>
        <v>2965982.6322700479</v>
      </c>
      <c r="O103" s="26"/>
      <c r="P103" s="80">
        <f t="shared" si="17"/>
        <v>3444834.5843414934</v>
      </c>
      <c r="Q103" s="26"/>
    </row>
    <row r="104" spans="2:17" x14ac:dyDescent="0.2">
      <c r="B104" s="27" t="s">
        <v>60</v>
      </c>
      <c r="C104" s="26"/>
      <c r="D104" s="91">
        <f t="shared" si="18"/>
        <v>664991.17140762706</v>
      </c>
      <c r="E104" s="92">
        <f t="shared" si="14"/>
        <v>6.3580539392306941</v>
      </c>
      <c r="F104" s="80">
        <f t="shared" si="19"/>
        <v>4228049.7369218972</v>
      </c>
      <c r="G104" s="26"/>
      <c r="H104" s="91">
        <f t="shared" si="20"/>
        <v>433825.25421571144</v>
      </c>
      <c r="I104" s="92">
        <f t="shared" si="15"/>
        <v>0.91913160002998573</v>
      </c>
      <c r="J104" s="80">
        <f t="shared" si="21"/>
        <v>398742.50004070217</v>
      </c>
      <c r="K104" s="26"/>
      <c r="L104" s="91">
        <f t="shared" si="22"/>
        <v>667486.82828821242</v>
      </c>
      <c r="M104" s="92">
        <f t="shared" si="16"/>
        <v>3.7115387282085579</v>
      </c>
      <c r="N104" s="80">
        <f t="shared" si="23"/>
        <v>2477403.213760796</v>
      </c>
      <c r="O104" s="26"/>
      <c r="P104" s="80">
        <f t="shared" si="17"/>
        <v>2876145.7138014981</v>
      </c>
      <c r="Q104" s="26"/>
    </row>
    <row r="105" spans="2:17" x14ac:dyDescent="0.2">
      <c r="B105" s="27" t="s">
        <v>61</v>
      </c>
      <c r="C105" s="26"/>
      <c r="D105" s="91">
        <f t="shared" si="18"/>
        <v>550944.30695385323</v>
      </c>
      <c r="E105" s="92">
        <f t="shared" si="14"/>
        <v>6.3515123543265162</v>
      </c>
      <c r="F105" s="80">
        <f t="shared" si="19"/>
        <v>3499329.5721632591</v>
      </c>
      <c r="G105" s="26"/>
      <c r="H105" s="91">
        <f t="shared" si="20"/>
        <v>413553.23153290746</v>
      </c>
      <c r="I105" s="92">
        <f t="shared" si="15"/>
        <v>0.9361000974826974</v>
      </c>
      <c r="J105" s="80">
        <f t="shared" si="21"/>
        <v>387127.22035223921</v>
      </c>
      <c r="K105" s="26"/>
      <c r="L105" s="91">
        <f t="shared" si="22"/>
        <v>568971.77270008973</v>
      </c>
      <c r="M105" s="92">
        <f t="shared" si="16"/>
        <v>3.7112663629250333</v>
      </c>
      <c r="N105" s="80">
        <f t="shared" si="23"/>
        <v>2111605.8014756707</v>
      </c>
      <c r="O105" s="26"/>
      <c r="P105" s="80">
        <f t="shared" si="17"/>
        <v>2498733.0218279101</v>
      </c>
      <c r="Q105" s="26"/>
    </row>
    <row r="106" spans="2:17" x14ac:dyDescent="0.2">
      <c r="B106" s="27" t="s">
        <v>62</v>
      </c>
      <c r="C106" s="26"/>
      <c r="D106" s="91">
        <f t="shared" si="18"/>
        <v>559048.98011574312</v>
      </c>
      <c r="E106" s="92">
        <f t="shared" si="14"/>
        <v>6.3224578641643072</v>
      </c>
      <c r="F106" s="80">
        <f t="shared" si="19"/>
        <v>3534563.6207858156</v>
      </c>
      <c r="G106" s="26"/>
      <c r="H106" s="91">
        <f t="shared" si="20"/>
        <v>378408.85849727329</v>
      </c>
      <c r="I106" s="92">
        <f t="shared" si="15"/>
        <v>0.90376467319460063</v>
      </c>
      <c r="J106" s="80">
        <f t="shared" si="21"/>
        <v>341992.55833373009</v>
      </c>
      <c r="K106" s="26"/>
      <c r="L106" s="91">
        <f t="shared" si="22"/>
        <v>543694.48277781822</v>
      </c>
      <c r="M106" s="92">
        <f t="shared" si="16"/>
        <v>3.7177759753541046</v>
      </c>
      <c r="N106" s="80">
        <f t="shared" si="23"/>
        <v>2021334.2860039487</v>
      </c>
      <c r="O106" s="26"/>
      <c r="P106" s="80">
        <f t="shared" si="17"/>
        <v>2363326.8443376785</v>
      </c>
      <c r="Q106" s="26"/>
    </row>
    <row r="107" spans="2:17" x14ac:dyDescent="0.2">
      <c r="B107" s="27" t="s">
        <v>63</v>
      </c>
      <c r="C107" s="26"/>
      <c r="D107" s="91">
        <f t="shared" si="18"/>
        <v>593898.46059171727</v>
      </c>
      <c r="E107" s="92">
        <f t="shared" si="14"/>
        <v>6.3359515715749142</v>
      </c>
      <c r="F107" s="80">
        <f t="shared" si="19"/>
        <v>3762911.8847420132</v>
      </c>
      <c r="G107" s="26"/>
      <c r="H107" s="91">
        <f t="shared" si="20"/>
        <v>436572.04237297567</v>
      </c>
      <c r="I107" s="92">
        <f t="shared" si="15"/>
        <v>0.91465136926550306</v>
      </c>
      <c r="J107" s="80">
        <f t="shared" si="21"/>
        <v>399311.21633947943</v>
      </c>
      <c r="K107" s="26"/>
      <c r="L107" s="91">
        <f t="shared" si="22"/>
        <v>599106.81569456658</v>
      </c>
      <c r="M107" s="92">
        <f t="shared" si="16"/>
        <v>3.7147813769867919</v>
      </c>
      <c r="N107" s="80">
        <f t="shared" si="23"/>
        <v>2225550.8417680343</v>
      </c>
      <c r="O107" s="26"/>
      <c r="P107" s="80">
        <f t="shared" si="17"/>
        <v>2624862.0581075139</v>
      </c>
      <c r="Q107" s="26"/>
    </row>
    <row r="108" spans="2:17" x14ac:dyDescent="0.2">
      <c r="B108" s="26"/>
      <c r="C108" s="26"/>
      <c r="D108" s="26"/>
      <c r="E108" s="26"/>
      <c r="F108" s="26"/>
      <c r="G108" s="26"/>
      <c r="H108" s="26"/>
      <c r="I108" s="26"/>
      <c r="J108" s="26"/>
      <c r="K108" s="26"/>
      <c r="L108" s="26"/>
      <c r="M108" s="26"/>
      <c r="N108" s="26"/>
      <c r="O108" s="26"/>
      <c r="P108" s="80"/>
      <c r="Q108" s="26"/>
    </row>
    <row r="109" spans="2:17" ht="13.5" thickBot="1" x14ac:dyDescent="0.25">
      <c r="B109" s="74" t="s">
        <v>3</v>
      </c>
      <c r="C109" s="26"/>
      <c r="D109" s="81">
        <f>SUM(D96:D107)</f>
        <v>7526316.6201691022</v>
      </c>
      <c r="E109" s="82">
        <f>IF(D109&lt;&gt;0,F109/D109,0)</f>
        <v>6.3435497366662705</v>
      </c>
      <c r="F109" s="83">
        <f>SUM(F96:F107)</f>
        <v>47743563.813940682</v>
      </c>
      <c r="G109" s="26"/>
      <c r="H109" s="81">
        <f>SUM(H96:H107)</f>
        <v>5219699.4269237025</v>
      </c>
      <c r="I109" s="82">
        <f>IF(H109&lt;&gt;0,J109/H109,0)</f>
        <v>0.9118343224880191</v>
      </c>
      <c r="J109" s="83">
        <f>SUM(J96:J107)</f>
        <v>4759501.0905400757</v>
      </c>
      <c r="K109" s="26"/>
      <c r="L109" s="81">
        <f>SUM(L96:L107)</f>
        <v>7698686.130853842</v>
      </c>
      <c r="M109" s="82">
        <f>IF(L109&lt;&gt;0,N109/L109,0)</f>
        <v>3.7127889033101971</v>
      </c>
      <c r="N109" s="83">
        <f>SUM(N96:N107)</f>
        <v>28583596.436702259</v>
      </c>
      <c r="O109" s="26"/>
      <c r="P109" s="83">
        <f>SUM(P96:P107)</f>
        <v>33343097.52724234</v>
      </c>
      <c r="Q109" s="26"/>
    </row>
    <row r="111" spans="2:17" x14ac:dyDescent="0.2">
      <c r="N111" s="94" t="s">
        <v>68</v>
      </c>
      <c r="P111" s="95" t="e">
        <f>#REF!</f>
        <v>#REF!</v>
      </c>
    </row>
    <row r="113" spans="14:16" ht="13.5" thickBot="1" x14ac:dyDescent="0.25">
      <c r="N113" s="96" t="s">
        <v>69</v>
      </c>
      <c r="P113" s="8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1B3F-47C8-4D87-AE7B-3EFFA01CECC1}">
  <dimension ref="A3:Q113"/>
  <sheetViews>
    <sheetView topLeftCell="B1" workbookViewId="0">
      <selection activeCell="J49" sqref="J49"/>
    </sheetView>
  </sheetViews>
  <sheetFormatPr defaultColWidth="9.28515625" defaultRowHeight="12.75" x14ac:dyDescent="0.2"/>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14.7109375" style="1" customWidth="1"/>
    <col min="12" max="12" width="14.28515625" style="1" customWidth="1"/>
    <col min="13" max="13" width="12.140625" style="1" customWidth="1"/>
    <col min="14" max="16384" width="9.28515625" style="1"/>
  </cols>
  <sheetData>
    <row r="3" spans="1:17" x14ac:dyDescent="0.2">
      <c r="D3" s="100"/>
      <c r="E3" s="101"/>
      <c r="F3" s="101"/>
      <c r="G3" s="101"/>
      <c r="H3" s="102"/>
      <c r="I3" s="101"/>
      <c r="J3" s="100"/>
    </row>
    <row r="4" spans="1:17" x14ac:dyDescent="0.2">
      <c r="D4" s="100"/>
      <c r="E4" s="101"/>
      <c r="F4" s="101"/>
      <c r="G4" s="101"/>
      <c r="H4" s="102"/>
      <c r="I4" s="101"/>
      <c r="J4" s="100"/>
    </row>
    <row r="5" spans="1:17" x14ac:dyDescent="0.2">
      <c r="D5" s="100"/>
      <c r="E5" s="101"/>
      <c r="F5" s="101"/>
      <c r="G5" s="101"/>
      <c r="H5" s="102"/>
      <c r="I5" s="101"/>
      <c r="J5" s="100"/>
    </row>
    <row r="6" spans="1:17" x14ac:dyDescent="0.2">
      <c r="D6" s="100"/>
      <c r="E6" s="101"/>
      <c r="F6" s="101"/>
      <c r="G6" s="101"/>
      <c r="H6" s="102"/>
      <c r="I6" s="101"/>
      <c r="J6" s="100"/>
    </row>
    <row r="7" spans="1:17" x14ac:dyDescent="0.2">
      <c r="D7" s="100"/>
      <c r="E7" s="101"/>
      <c r="F7" s="101"/>
      <c r="G7" s="101"/>
      <c r="H7" s="102"/>
      <c r="I7" s="101"/>
      <c r="J7" s="100"/>
    </row>
    <row r="8" spans="1:17" x14ac:dyDescent="0.2">
      <c r="D8" s="100"/>
      <c r="E8" s="101"/>
      <c r="F8" s="101"/>
      <c r="G8" s="101"/>
      <c r="H8" s="102"/>
      <c r="I8" s="101"/>
      <c r="J8" s="100"/>
    </row>
    <row r="9" spans="1:17" x14ac:dyDescent="0.2">
      <c r="D9" s="100"/>
      <c r="E9" s="101"/>
      <c r="F9" s="101"/>
      <c r="G9" s="101"/>
      <c r="H9" s="102"/>
      <c r="I9" s="101"/>
      <c r="J9" s="100"/>
    </row>
    <row r="10" spans="1:17" x14ac:dyDescent="0.2">
      <c r="D10" s="100"/>
      <c r="E10" s="101"/>
      <c r="F10" s="101"/>
      <c r="G10" s="101"/>
      <c r="H10" s="102"/>
      <c r="I10" s="101"/>
      <c r="J10" s="100"/>
    </row>
    <row r="11" spans="1:17" x14ac:dyDescent="0.2">
      <c r="D11" s="100"/>
      <c r="E11" s="101"/>
      <c r="F11" s="101"/>
      <c r="G11" s="101"/>
      <c r="H11" s="102"/>
      <c r="I11" s="101"/>
      <c r="J11" s="100"/>
    </row>
    <row r="12" spans="1:17" x14ac:dyDescent="0.2">
      <c r="D12" s="100"/>
      <c r="E12" s="101"/>
      <c r="F12" s="101"/>
      <c r="G12" s="101"/>
      <c r="H12" s="102"/>
      <c r="I12" s="101"/>
      <c r="J12" s="100"/>
    </row>
    <row r="13" spans="1:17" ht="15.75" x14ac:dyDescent="0.25">
      <c r="A13" s="103" t="s">
        <v>71</v>
      </c>
      <c r="C13" s="245" t="s">
        <v>187</v>
      </c>
      <c r="D13" s="245"/>
      <c r="E13" s="245"/>
      <c r="F13" s="245"/>
      <c r="G13" s="245"/>
      <c r="H13" s="245"/>
      <c r="I13" s="245" t="s">
        <v>186</v>
      </c>
      <c r="J13" s="245"/>
    </row>
    <row r="14" spans="1:17" x14ac:dyDescent="0.2">
      <c r="D14" s="100"/>
      <c r="E14" s="101"/>
      <c r="F14" s="101"/>
      <c r="G14" s="101"/>
      <c r="H14" s="102"/>
      <c r="I14" s="101"/>
      <c r="J14" s="100"/>
    </row>
    <row r="15" spans="1:17" ht="47.25" x14ac:dyDescent="0.2">
      <c r="A15" s="104" t="s">
        <v>6</v>
      </c>
      <c r="B15" s="104" t="s">
        <v>7</v>
      </c>
      <c r="C15" s="105" t="s">
        <v>8</v>
      </c>
      <c r="D15" s="106" t="s">
        <v>72</v>
      </c>
      <c r="E15" s="107" t="s">
        <v>13</v>
      </c>
      <c r="F15" s="108" t="s">
        <v>73</v>
      </c>
      <c r="G15" s="109" t="s">
        <v>74</v>
      </c>
      <c r="H15" s="110" t="s">
        <v>75</v>
      </c>
      <c r="I15" s="108" t="s">
        <v>76</v>
      </c>
      <c r="J15" s="111" t="s">
        <v>77</v>
      </c>
      <c r="K15" s="111" t="s">
        <v>191</v>
      </c>
      <c r="L15" s="111" t="s">
        <v>189</v>
      </c>
      <c r="M15" s="111" t="s">
        <v>190</v>
      </c>
    </row>
    <row r="16" spans="1:17" x14ac:dyDescent="0.2">
      <c r="A16" s="126" t="s">
        <v>213</v>
      </c>
      <c r="G16" s="112"/>
      <c r="Q16" s="124"/>
    </row>
    <row r="17" spans="1:17" x14ac:dyDescent="0.2">
      <c r="A17" s="1" t="s">
        <v>14</v>
      </c>
      <c r="B17" s="1" t="s">
        <v>15</v>
      </c>
      <c r="C17" s="99" t="s">
        <v>16</v>
      </c>
      <c r="D17" s="100">
        <f>'3. RRR Data 2027'!D17</f>
        <v>1.17E-2</v>
      </c>
      <c r="E17" s="112">
        <f>'3. RRR Data 2027'!H17</f>
        <v>1120679623.7401807</v>
      </c>
      <c r="F17" s="112">
        <f>'3. RRR Data 2027'!F17</f>
        <v>0</v>
      </c>
      <c r="G17" s="112">
        <f>IF(D17*E17=0,ROUND(D17*F17,2),ROUND(D17*E17,2))</f>
        <v>13111951.6</v>
      </c>
      <c r="H17" s="113">
        <f t="shared" ref="H17:H27" si="0">G17/$G$38</f>
        <v>0.27715617324043518</v>
      </c>
      <c r="I17" s="112">
        <f>K17*$I$38</f>
        <v>19017395.163814276</v>
      </c>
      <c r="J17" s="100">
        <f>IF(I17*L17=0,ROUND(I17/M17,4),ROUND(I17/L17,4))</f>
        <v>1.2200000000000001E-2</v>
      </c>
      <c r="K17" s="121">
        <f>H17+H29</f>
        <v>0.39832374554036487</v>
      </c>
      <c r="L17" s="118">
        <f>E17+E29</f>
        <v>1558260054.9002216</v>
      </c>
      <c r="M17" s="118">
        <f>F17+F29</f>
        <v>0</v>
      </c>
      <c r="Q17" s="124"/>
    </row>
    <row r="18" spans="1:17" x14ac:dyDescent="0.2">
      <c r="A18" s="1" t="s">
        <v>18</v>
      </c>
      <c r="B18" s="1" t="s">
        <v>15</v>
      </c>
      <c r="C18" s="99" t="s">
        <v>16</v>
      </c>
      <c r="D18" s="100">
        <f>'3. RRR Data 2027'!D19</f>
        <v>1.2200000000000001E-2</v>
      </c>
      <c r="E18" s="112">
        <f>'3. RRR Data 2027'!H19</f>
        <v>13681704.53311641</v>
      </c>
      <c r="F18" s="112">
        <f>'3. RRR Data 2027'!F19</f>
        <v>0</v>
      </c>
      <c r="G18" s="112">
        <f t="shared" ref="G18:G37" si="1">IF(D18*E18=0,ROUND(D18*F18,2),ROUND(D18*E18,2))</f>
        <v>166916.79999999999</v>
      </c>
      <c r="H18" s="113">
        <f t="shared" si="0"/>
        <v>3.5282330921309279E-3</v>
      </c>
      <c r="I18" s="112">
        <f t="shared" ref="I18:I27" si="2">K18*$I$38</f>
        <v>168450.42178461017</v>
      </c>
      <c r="J18" s="100">
        <f t="shared" ref="J18:J25" si="3">IF(I18*L18=0,ROUND(I18/M18,4),ROUND(I18/L18,4))</f>
        <v>1.23E-2</v>
      </c>
      <c r="K18" s="121">
        <f>H18</f>
        <v>3.5282330921309279E-3</v>
      </c>
      <c r="L18" s="118">
        <f>E18</f>
        <v>13681704.53311641</v>
      </c>
      <c r="M18" s="118">
        <f>F18</f>
        <v>0</v>
      </c>
      <c r="Q18" s="124"/>
    </row>
    <row r="19" spans="1:17" x14ac:dyDescent="0.2">
      <c r="A19" s="1" t="s">
        <v>19</v>
      </c>
      <c r="B19" s="1" t="s">
        <v>15</v>
      </c>
      <c r="C19" s="99" t="s">
        <v>16</v>
      </c>
      <c r="D19" s="100">
        <f>'3. RRR Data 2027'!D21</f>
        <v>1.0699999999999999E-2</v>
      </c>
      <c r="E19" s="112">
        <f>'3. RRR Data 2027'!H21</f>
        <v>279667332.03624445</v>
      </c>
      <c r="F19" s="112">
        <f>'3. RRR Data 2027'!F21</f>
        <v>0</v>
      </c>
      <c r="G19" s="112">
        <f t="shared" si="1"/>
        <v>2992440.45</v>
      </c>
      <c r="H19" s="113">
        <f t="shared" si="0"/>
        <v>6.3253234077823003E-2</v>
      </c>
      <c r="I19" s="112">
        <f t="shared" si="2"/>
        <v>4107840.5084335073</v>
      </c>
      <c r="J19" s="100">
        <f>IF(I19*L19=0,ROUND(I19/M19,4),ROUND(I19/L19,4))</f>
        <v>1.11E-2</v>
      </c>
      <c r="K19" s="121">
        <f>H19+H30</f>
        <v>8.6039670696598819E-2</v>
      </c>
      <c r="L19" s="118">
        <f t="shared" ref="L19:M23" si="4">E19+E30</f>
        <v>369500755.75386882</v>
      </c>
      <c r="M19" s="118">
        <f t="shared" si="4"/>
        <v>0</v>
      </c>
      <c r="Q19" s="124"/>
    </row>
    <row r="20" spans="1:17" x14ac:dyDescent="0.2">
      <c r="A20" s="1" t="s">
        <v>20</v>
      </c>
      <c r="B20" s="1" t="s">
        <v>15</v>
      </c>
      <c r="C20" s="99" t="s">
        <v>21</v>
      </c>
      <c r="D20" s="100">
        <f>'3. RRR Data 2027'!D23</f>
        <v>5.2130999999999998</v>
      </c>
      <c r="E20" s="112"/>
      <c r="F20" s="112">
        <f>'3. RRR Data 2027'!F23</f>
        <v>2362640.1919924114</v>
      </c>
      <c r="G20" s="112">
        <f t="shared" si="1"/>
        <v>12316679.58</v>
      </c>
      <c r="H20" s="113">
        <f t="shared" si="0"/>
        <v>0.26034597164173567</v>
      </c>
      <c r="I20" s="112">
        <f t="shared" si="2"/>
        <v>16609426.090859519</v>
      </c>
      <c r="J20" s="100">
        <f>IF(I20*L20=0,ROUND(I20/M20,4),ROUND(I20/L20,4))</f>
        <v>5.1322999999999999</v>
      </c>
      <c r="K20" s="121">
        <f>H20+H31</f>
        <v>0.3478882756969584</v>
      </c>
      <c r="L20" s="118">
        <f t="shared" si="4"/>
        <v>0</v>
      </c>
      <c r="M20" s="118">
        <f t="shared" si="4"/>
        <v>3236251.567804723</v>
      </c>
      <c r="Q20" s="124"/>
    </row>
    <row r="21" spans="1:17" x14ac:dyDescent="0.2">
      <c r="A21" s="1" t="s">
        <v>20</v>
      </c>
      <c r="B21" s="1" t="s">
        <v>22</v>
      </c>
      <c r="C21" s="99" t="s">
        <v>21</v>
      </c>
      <c r="D21" s="100">
        <f>'3. RRR Data 2027'!D25</f>
        <v>0.88622699999999999</v>
      </c>
      <c r="E21" s="112"/>
      <c r="F21" s="112">
        <f>'3. RRR Data 2027'!F25</f>
        <v>15376.161525027419</v>
      </c>
      <c r="G21" s="112">
        <f t="shared" si="1"/>
        <v>13626.77</v>
      </c>
      <c r="H21" s="113">
        <f t="shared" si="0"/>
        <v>2.880382373305561E-4</v>
      </c>
      <c r="I21" s="112">
        <f t="shared" si="2"/>
        <v>17523.347669544539</v>
      </c>
      <c r="J21" s="100">
        <f t="shared" si="3"/>
        <v>0.87560000000000004</v>
      </c>
      <c r="K21" s="121">
        <f>H21+H32</f>
        <v>3.6703057479818644E-4</v>
      </c>
      <c r="L21" s="118">
        <f t="shared" si="4"/>
        <v>0</v>
      </c>
      <c r="M21" s="118">
        <f t="shared" si="4"/>
        <v>20013.267519445857</v>
      </c>
      <c r="Q21" s="124"/>
    </row>
    <row r="22" spans="1:17" x14ac:dyDescent="0.2">
      <c r="A22" s="1" t="s">
        <v>24</v>
      </c>
      <c r="B22" s="1" t="s">
        <v>15</v>
      </c>
      <c r="C22" s="99" t="s">
        <v>21</v>
      </c>
      <c r="D22" s="100">
        <f>'3. RRR Data 2027'!D27</f>
        <v>5.7435</v>
      </c>
      <c r="E22" s="112"/>
      <c r="F22" s="112">
        <f>'3. RRR Data 2027'!F27</f>
        <v>391116.45656887733</v>
      </c>
      <c r="G22" s="112">
        <f t="shared" si="1"/>
        <v>2246377.37</v>
      </c>
      <c r="H22" s="113">
        <f t="shared" si="0"/>
        <v>4.7483195066332702E-2</v>
      </c>
      <c r="I22" s="112">
        <f t="shared" si="2"/>
        <v>3286910.5021535507</v>
      </c>
      <c r="J22" s="100">
        <f t="shared" si="3"/>
        <v>5.4393000000000002</v>
      </c>
      <c r="K22" s="121">
        <f>H22+H33</f>
        <v>6.8845101613336276E-2</v>
      </c>
      <c r="L22" s="118">
        <f t="shared" si="4"/>
        <v>0</v>
      </c>
      <c r="M22" s="118">
        <f t="shared" si="4"/>
        <v>604293.44379782502</v>
      </c>
      <c r="Q22" s="124"/>
    </row>
    <row r="23" spans="1:17" x14ac:dyDescent="0.2">
      <c r="A23" s="1" t="s">
        <v>24</v>
      </c>
      <c r="B23" s="1" t="s">
        <v>22</v>
      </c>
      <c r="C23" s="99" t="s">
        <v>21</v>
      </c>
      <c r="D23" s="100">
        <f>'3. RRR Data 2027'!D29</f>
        <v>0.97639500000000012</v>
      </c>
      <c r="E23" s="112"/>
      <c r="F23" s="112">
        <f>'3. RRR Data 2027'!F29</f>
        <v>0</v>
      </c>
      <c r="G23" s="112">
        <f t="shared" si="1"/>
        <v>0</v>
      </c>
      <c r="H23" s="113">
        <f t="shared" si="0"/>
        <v>0</v>
      </c>
      <c r="I23" s="112">
        <f t="shared" si="2"/>
        <v>0</v>
      </c>
      <c r="J23" s="100">
        <f>J22*0.17</f>
        <v>0.92468100000000009</v>
      </c>
      <c r="K23" s="121">
        <f>H23+H34</f>
        <v>0</v>
      </c>
      <c r="L23" s="118">
        <f t="shared" si="4"/>
        <v>0</v>
      </c>
      <c r="M23" s="118">
        <f t="shared" si="4"/>
        <v>0</v>
      </c>
      <c r="Q23" s="124"/>
    </row>
    <row r="24" spans="1:17" x14ac:dyDescent="0.2">
      <c r="A24" s="1" t="s">
        <v>27</v>
      </c>
      <c r="B24" s="1" t="s">
        <v>15</v>
      </c>
      <c r="C24" s="99" t="s">
        <v>21</v>
      </c>
      <c r="D24" s="100">
        <f>'3. RRR Data 2027'!D31</f>
        <v>5.7435</v>
      </c>
      <c r="E24" s="112"/>
      <c r="F24" s="112">
        <f>'3. RRR Data 2027'!F31</f>
        <v>742951.90772589517</v>
      </c>
      <c r="G24" s="112">
        <f t="shared" si="1"/>
        <v>4267144.28</v>
      </c>
      <c r="H24" s="113">
        <f t="shared" si="0"/>
        <v>9.0197509523266703E-2</v>
      </c>
      <c r="I24" s="112">
        <f t="shared" si="2"/>
        <v>4306350.5517826052</v>
      </c>
      <c r="J24" s="100">
        <f t="shared" si="3"/>
        <v>5.7962999999999996</v>
      </c>
      <c r="K24" s="121">
        <f>H24</f>
        <v>9.0197509523266703E-2</v>
      </c>
      <c r="L24" s="118">
        <f>E24</f>
        <v>0</v>
      </c>
      <c r="M24" s="118">
        <f>F24</f>
        <v>742951.90772589517</v>
      </c>
      <c r="Q24" s="124"/>
    </row>
    <row r="25" spans="1:17" x14ac:dyDescent="0.2">
      <c r="A25" s="1" t="s">
        <v>28</v>
      </c>
      <c r="B25" s="1" t="s">
        <v>15</v>
      </c>
      <c r="C25" s="99" t="s">
        <v>16</v>
      </c>
      <c r="D25" s="100">
        <f>'3. RRR Data 2027'!D33</f>
        <v>1.0699999999999999E-2</v>
      </c>
      <c r="E25" s="112">
        <f>'3. RRR Data 2027'!H33</f>
        <v>4779323.3810849898</v>
      </c>
      <c r="F25" s="112">
        <f>'3. RRR Data 2027'!F33</f>
        <v>0</v>
      </c>
      <c r="G25" s="112">
        <f t="shared" si="1"/>
        <v>51138.76</v>
      </c>
      <c r="H25" s="113">
        <f t="shared" si="0"/>
        <v>1.0809544954285095E-3</v>
      </c>
      <c r="I25" s="112">
        <f t="shared" si="2"/>
        <v>75458.082396709317</v>
      </c>
      <c r="J25" s="100">
        <f t="shared" si="3"/>
        <v>1.12E-2</v>
      </c>
      <c r="K25" s="121">
        <f>H25+H35</f>
        <v>1.5804870095322936E-3</v>
      </c>
      <c r="L25" s="118">
        <f t="shared" ref="L25:M27" si="5">E25+E35</f>
        <v>6748684.5450609531</v>
      </c>
      <c r="M25" s="118">
        <f t="shared" si="5"/>
        <v>0</v>
      </c>
    </row>
    <row r="26" spans="1:17" x14ac:dyDescent="0.2">
      <c r="A26" s="1" t="s">
        <v>29</v>
      </c>
      <c r="B26" s="1" t="s">
        <v>15</v>
      </c>
      <c r="C26" s="99" t="s">
        <v>21</v>
      </c>
      <c r="D26" s="100">
        <f>'3. RRR Data 2027'!D35</f>
        <v>3.2515999999999998</v>
      </c>
      <c r="E26" s="112"/>
      <c r="F26" s="112">
        <f>'3. RRR Data 2027'!F35</f>
        <v>569.18081677203395</v>
      </c>
      <c r="G26" s="112">
        <f t="shared" si="1"/>
        <v>1850.75</v>
      </c>
      <c r="H26" s="113">
        <f t="shared" si="0"/>
        <v>3.9120552246755959E-5</v>
      </c>
      <c r="I26" s="112">
        <f t="shared" si="2"/>
        <v>2176.737654661852</v>
      </c>
      <c r="J26" s="100">
        <f>IF(I26*L26=0,ROUND(I26/M26,4),ROUND(I26/L26,4))</f>
        <v>3.3262999999999998</v>
      </c>
      <c r="K26" s="121">
        <f>H26+H36</f>
        <v>4.5592274241292916E-5</v>
      </c>
      <c r="L26" s="118">
        <f t="shared" si="5"/>
        <v>0</v>
      </c>
      <c r="M26" s="118">
        <f t="shared" si="5"/>
        <v>654.39888952205615</v>
      </c>
    </row>
    <row r="27" spans="1:17" x14ac:dyDescent="0.2">
      <c r="A27" s="1" t="s">
        <v>30</v>
      </c>
      <c r="B27" s="1" t="s">
        <v>15</v>
      </c>
      <c r="C27" s="99" t="s">
        <v>21</v>
      </c>
      <c r="D27" s="100">
        <f>'3. RRR Data 2027'!D37</f>
        <v>3.4237000000000002</v>
      </c>
      <c r="E27" s="112"/>
      <c r="F27" s="112">
        <f>'3. RRR Data 2027'!F37</f>
        <v>33229.794206584047</v>
      </c>
      <c r="G27" s="112">
        <f t="shared" si="1"/>
        <v>113768.85</v>
      </c>
      <c r="H27" s="113">
        <f t="shared" si="0"/>
        <v>2.4048089912080736E-3</v>
      </c>
      <c r="I27" s="112">
        <f t="shared" si="2"/>
        <v>152032.40739169228</v>
      </c>
      <c r="J27" s="100">
        <f t="shared" ref="J27" si="6">IF(I27*L27=0,ROUND(I27/M27,4),ROUND(I27/L27,4))</f>
        <v>3.4914000000000001</v>
      </c>
      <c r="K27" s="121">
        <f>H27+H37</f>
        <v>3.1843539787723227E-3</v>
      </c>
      <c r="L27" s="118">
        <f t="shared" si="5"/>
        <v>0</v>
      </c>
      <c r="M27" s="118">
        <f t="shared" si="5"/>
        <v>43544.269818658286</v>
      </c>
    </row>
    <row r="28" spans="1:17" x14ac:dyDescent="0.2">
      <c r="A28" s="126" t="s">
        <v>215</v>
      </c>
      <c r="D28" s="100"/>
      <c r="E28" s="112"/>
      <c r="F28" s="112"/>
      <c r="G28" s="112"/>
      <c r="H28" s="113"/>
      <c r="I28" s="112"/>
      <c r="J28" s="100"/>
      <c r="K28" s="121"/>
      <c r="L28" s="118"/>
      <c r="M28" s="118"/>
    </row>
    <row r="29" spans="1:17" x14ac:dyDescent="0.2">
      <c r="A29" s="1" t="s">
        <v>14</v>
      </c>
      <c r="B29" s="1" t="s">
        <v>15</v>
      </c>
      <c r="C29" s="99" t="s">
        <v>16</v>
      </c>
      <c r="D29" s="100">
        <f>'3. RRR Data 2027'!D40</f>
        <v>1.3100000000000001E-2</v>
      </c>
      <c r="E29" s="112">
        <f>'3. RRR Data 2027'!H40</f>
        <v>437580431.1600408</v>
      </c>
      <c r="F29" s="112">
        <f>'3. RRR Data 2027'!F40</f>
        <v>0</v>
      </c>
      <c r="G29" s="112">
        <f>IF(D29*E29=0,ROUND(D29*F29,2),ROUND(D29*E29,2))</f>
        <v>5732303.6500000004</v>
      </c>
      <c r="H29" s="113">
        <f t="shared" ref="H29:H37" si="7">G29/$G$38</f>
        <v>0.12116757229992971</v>
      </c>
      <c r="I29" s="112"/>
      <c r="J29" s="100"/>
      <c r="K29" s="121"/>
      <c r="M29" s="118"/>
    </row>
    <row r="30" spans="1:17" x14ac:dyDescent="0.2">
      <c r="A30" s="1" t="s">
        <v>19</v>
      </c>
      <c r="B30" s="1" t="s">
        <v>15</v>
      </c>
      <c r="C30" s="99" t="s">
        <v>16</v>
      </c>
      <c r="D30" s="100">
        <f>'3. RRR Data 2027'!D42</f>
        <v>1.2E-2</v>
      </c>
      <c r="E30" s="112">
        <f>'3. RRR Data 2027'!H42</f>
        <v>89833423.717624366</v>
      </c>
      <c r="F30" s="112">
        <f>'3. RRR Data 2027'!F42</f>
        <v>0</v>
      </c>
      <c r="G30" s="112">
        <f t="shared" si="1"/>
        <v>1078001.08</v>
      </c>
      <c r="H30" s="113">
        <f t="shared" si="7"/>
        <v>2.2786436618775822E-2</v>
      </c>
      <c r="I30" s="112"/>
      <c r="J30" s="100"/>
    </row>
    <row r="31" spans="1:17" x14ac:dyDescent="0.2">
      <c r="A31" s="1" t="s">
        <v>81</v>
      </c>
      <c r="B31" s="1" t="s">
        <v>15</v>
      </c>
      <c r="C31" s="99" t="s">
        <v>21</v>
      </c>
      <c r="D31" s="100">
        <f>'3. RRR Data 2027'!D44</f>
        <v>4.7407000000000004</v>
      </c>
      <c r="E31" s="112"/>
      <c r="F31" s="112">
        <f>'3. RRR Data 2027'!F44</f>
        <v>873611.37581231177</v>
      </c>
      <c r="G31" s="112">
        <f t="shared" si="1"/>
        <v>4141529.45</v>
      </c>
      <c r="H31" s="113">
        <f t="shared" si="7"/>
        <v>8.7542304055222744E-2</v>
      </c>
      <c r="I31" s="112"/>
      <c r="J31" s="100"/>
    </row>
    <row r="32" spans="1:17" x14ac:dyDescent="0.2">
      <c r="A32" s="1" t="s">
        <v>81</v>
      </c>
      <c r="B32" s="1" t="s">
        <v>22</v>
      </c>
      <c r="C32" s="99" t="s">
        <v>21</v>
      </c>
      <c r="D32" s="100">
        <f>'3. RRR Data 2027'!D46</f>
        <v>0.80589999999999995</v>
      </c>
      <c r="E32" s="112"/>
      <c r="F32" s="112">
        <f>'3. RRR Data 2027'!F46</f>
        <v>4637.1059944184362</v>
      </c>
      <c r="G32" s="112">
        <f t="shared" si="1"/>
        <v>3737.04</v>
      </c>
      <c r="H32" s="113">
        <f>G32/$G$38</f>
        <v>7.8992337467630357E-5</v>
      </c>
      <c r="I32" s="112"/>
      <c r="J32" s="100"/>
    </row>
    <row r="33" spans="1:13" x14ac:dyDescent="0.2">
      <c r="A33" s="1" t="str">
        <f t="shared" ref="A33:C34" si="8">A20</f>
        <v>General Service 50 To 2,999 kW Service Classification</v>
      </c>
      <c r="B33" s="1" t="str">
        <f t="shared" si="8"/>
        <v>Retail Transmission Rate - Network Service Rate</v>
      </c>
      <c r="C33" s="99" t="str">
        <f t="shared" si="8"/>
        <v>$/kW</v>
      </c>
      <c r="D33" s="100">
        <f>D31</f>
        <v>4.7407000000000004</v>
      </c>
      <c r="E33" s="112"/>
      <c r="F33" s="112">
        <f>'3. RRR Data 2027'!F48</f>
        <v>213176.98722894766</v>
      </c>
      <c r="G33" s="112">
        <f t="shared" si="1"/>
        <v>1010608.14</v>
      </c>
      <c r="H33" s="113">
        <f t="shared" si="7"/>
        <v>2.1361906547003574E-2</v>
      </c>
      <c r="I33" s="112"/>
      <c r="J33" s="100"/>
    </row>
    <row r="34" spans="1:13" x14ac:dyDescent="0.2">
      <c r="A34" s="1" t="str">
        <f t="shared" si="8"/>
        <v>General Service 50 To 2,999 kW Service Classification</v>
      </c>
      <c r="B34" s="1" t="str">
        <f t="shared" si="8"/>
        <v>Retail Transmission Rate - Network Service Rate - EV CHARGING</v>
      </c>
      <c r="C34" s="99" t="str">
        <f t="shared" si="8"/>
        <v>$/kW</v>
      </c>
      <c r="D34" s="100">
        <f>D32</f>
        <v>0.80589999999999995</v>
      </c>
      <c r="E34" s="112">
        <f>'3. RRR Data 2027'!H50</f>
        <v>0</v>
      </c>
      <c r="F34" s="112">
        <f>'3. RRR Data 2027'!F50</f>
        <v>0</v>
      </c>
      <c r="G34" s="112">
        <f t="shared" si="1"/>
        <v>0</v>
      </c>
      <c r="H34" s="113">
        <f t="shared" si="7"/>
        <v>0</v>
      </c>
      <c r="I34" s="112"/>
      <c r="J34" s="100"/>
    </row>
    <row r="35" spans="1:13" x14ac:dyDescent="0.2">
      <c r="A35" s="1" t="s">
        <v>28</v>
      </c>
      <c r="B35" s="1" t="s">
        <v>15</v>
      </c>
      <c r="C35" s="99" t="s">
        <v>16</v>
      </c>
      <c r="D35" s="100">
        <f>'3. RRR Data 2027'!D52</f>
        <v>1.2E-2</v>
      </c>
      <c r="E35" s="112">
        <f>'3. RRR Data 2027'!H52</f>
        <v>1969361.1639759634</v>
      </c>
      <c r="F35" s="112">
        <f>'3. RRR Data 2027'!F52</f>
        <v>0</v>
      </c>
      <c r="G35" s="112">
        <f t="shared" si="1"/>
        <v>23632.33</v>
      </c>
      <c r="H35" s="113">
        <f t="shared" si="7"/>
        <v>4.9953251410378408E-4</v>
      </c>
      <c r="I35" s="112"/>
      <c r="J35" s="100"/>
    </row>
    <row r="36" spans="1:13" x14ac:dyDescent="0.2">
      <c r="A36" s="1" t="s">
        <v>29</v>
      </c>
      <c r="B36" s="1" t="s">
        <v>15</v>
      </c>
      <c r="C36" s="99" t="s">
        <v>21</v>
      </c>
      <c r="D36" s="100">
        <f>'3. RRR Data 2027'!D54</f>
        <v>3.5928</v>
      </c>
      <c r="E36" s="112"/>
      <c r="F36" s="112">
        <f>'3. RRR Data 2027'!F54</f>
        <v>85.218072750022259</v>
      </c>
      <c r="G36" s="112">
        <f>IF(D36*E36=0,ROUND(D36*F36,2),ROUND(D36*E36,2))</f>
        <v>306.17</v>
      </c>
      <c r="H36" s="113">
        <f>G36/$G$38</f>
        <v>6.4717219945369572E-6</v>
      </c>
      <c r="I36" s="112"/>
      <c r="J36" s="100"/>
    </row>
    <row r="37" spans="1:13" x14ac:dyDescent="0.2">
      <c r="A37" s="1" t="s">
        <v>30</v>
      </c>
      <c r="B37" s="1" t="s">
        <v>15</v>
      </c>
      <c r="C37" s="99" t="s">
        <v>21</v>
      </c>
      <c r="D37" s="100">
        <f>'3. RRR Data 2027'!D56</f>
        <v>3.5754999999999999</v>
      </c>
      <c r="E37" s="112"/>
      <c r="F37" s="112">
        <f>'3. RRR Data 2027'!F56</f>
        <v>10314.47561207424</v>
      </c>
      <c r="G37" s="112">
        <f t="shared" si="1"/>
        <v>36879.410000000003</v>
      </c>
      <c r="H37" s="113">
        <f t="shared" si="7"/>
        <v>7.7954498756424931E-4</v>
      </c>
      <c r="I37" s="112"/>
      <c r="J37" s="100"/>
    </row>
    <row r="38" spans="1:13" x14ac:dyDescent="0.2">
      <c r="D38" s="100"/>
      <c r="E38" s="112"/>
      <c r="F38" s="112"/>
      <c r="G38" s="112">
        <f>SUM(G17:G37)</f>
        <v>47308892.479999997</v>
      </c>
      <c r="H38" s="113">
        <f>G38/$G$38</f>
        <v>1</v>
      </c>
      <c r="I38" s="112">
        <f>'7. Forecast Wholesale 2027'!F33+'7. Forecast Wholesale 2027'!F52</f>
        <v>47743563.813940674</v>
      </c>
      <c r="J38" s="100"/>
    </row>
    <row r="40" spans="1:13" ht="15.75" x14ac:dyDescent="0.25">
      <c r="A40" s="103" t="s">
        <v>78</v>
      </c>
    </row>
    <row r="41" spans="1:13" ht="47.25" x14ac:dyDescent="0.2">
      <c r="A41" s="104" t="s">
        <v>6</v>
      </c>
      <c r="B41" s="104" t="s">
        <v>7</v>
      </c>
      <c r="C41" s="105" t="s">
        <v>8</v>
      </c>
      <c r="D41" s="106" t="s">
        <v>79</v>
      </c>
      <c r="E41" s="107" t="s">
        <v>13</v>
      </c>
      <c r="F41" s="108" t="s">
        <v>73</v>
      </c>
      <c r="G41" s="109" t="s">
        <v>74</v>
      </c>
      <c r="H41" s="110" t="s">
        <v>75</v>
      </c>
      <c r="I41" s="108" t="s">
        <v>76</v>
      </c>
      <c r="J41" s="111" t="s">
        <v>80</v>
      </c>
      <c r="K41" s="111" t="s">
        <v>191</v>
      </c>
      <c r="L41" s="111" t="s">
        <v>189</v>
      </c>
      <c r="M41" s="111" t="s">
        <v>190</v>
      </c>
    </row>
    <row r="42" spans="1:13" x14ac:dyDescent="0.2">
      <c r="A42" s="126" t="s">
        <v>213</v>
      </c>
    </row>
    <row r="43" spans="1:13" x14ac:dyDescent="0.2">
      <c r="A43" s="1" t="s">
        <v>14</v>
      </c>
      <c r="B43" s="1" t="s">
        <v>17</v>
      </c>
      <c r="C43" s="99" t="s">
        <v>16</v>
      </c>
      <c r="D43" s="100">
        <f>'3. RRR Data 2027'!D18</f>
        <v>8.0000000000000002E-3</v>
      </c>
      <c r="E43" s="112">
        <f>'3. RRR Data 2027'!H18</f>
        <v>1120679623.7401807</v>
      </c>
      <c r="F43" s="112">
        <f>'3. RRR Data 2027'!F18</f>
        <v>0</v>
      </c>
      <c r="G43" s="112">
        <f>IF(D43*E43=0,ROUND(D43*F43,2),ROUND(D43*E43,2))</f>
        <v>8965436.9900000002</v>
      </c>
      <c r="H43" s="113">
        <f t="shared" ref="H43:H53" si="9">G43/$G$64</f>
        <v>0.27850397401637178</v>
      </c>
      <c r="I43" s="112">
        <f>K43*$I$64</f>
        <v>13773215.064682474</v>
      </c>
      <c r="J43" s="100">
        <f>IF(I43*L43=0,ROUND(I43/M43,4),ROUND(I43/L43,4))</f>
        <v>8.8000000000000005E-3</v>
      </c>
      <c r="K43" s="121">
        <f>H43+H55</f>
        <v>0.41307545147625635</v>
      </c>
      <c r="L43" s="118">
        <f>E43+E55</f>
        <v>1558260054.9002216</v>
      </c>
      <c r="M43" s="118">
        <f>F43+F55</f>
        <v>0</v>
      </c>
    </row>
    <row r="44" spans="1:13" x14ac:dyDescent="0.2">
      <c r="A44" s="1" t="s">
        <v>18</v>
      </c>
      <c r="B44" s="1" t="s">
        <v>17</v>
      </c>
      <c r="C44" s="99" t="s">
        <v>16</v>
      </c>
      <c r="D44" s="100">
        <f>'3. RRR Data 2027'!D20</f>
        <v>1.03E-2</v>
      </c>
      <c r="E44" s="112">
        <f>'3. RRR Data 2027'!H20</f>
        <v>13681704.53311641</v>
      </c>
      <c r="F44" s="112">
        <f>'3. RRR Data 2027'!F20</f>
        <v>0</v>
      </c>
      <c r="G44" s="112">
        <f t="shared" ref="G44:G63" si="10">IF(D44*E44=0,ROUND(D44*F44,2),ROUND(D44*E44,2))</f>
        <v>140921.56</v>
      </c>
      <c r="H44" s="113">
        <f t="shared" si="9"/>
        <v>4.3776131078008471E-3</v>
      </c>
      <c r="I44" s="112">
        <f t="shared" ref="I44:I53" si="11">K44*$I$64</f>
        <v>145963.18078993805</v>
      </c>
      <c r="J44" s="100">
        <f t="shared" ref="J44:J45" si="12">IF(I44*L44=0,ROUND(I44/M44,4),ROUND(I44/L44,4))</f>
        <v>1.0699999999999999E-2</v>
      </c>
      <c r="K44" s="121">
        <f>H44</f>
        <v>4.3776131078008471E-3</v>
      </c>
      <c r="L44" s="118">
        <f>E44</f>
        <v>13681704.53311641</v>
      </c>
      <c r="M44" s="118">
        <f>F44</f>
        <v>0</v>
      </c>
    </row>
    <row r="45" spans="1:13" x14ac:dyDescent="0.2">
      <c r="A45" s="1" t="s">
        <v>19</v>
      </c>
      <c r="B45" s="1" t="s">
        <v>17</v>
      </c>
      <c r="C45" s="99" t="s">
        <v>16</v>
      </c>
      <c r="D45" s="100">
        <f>'3. RRR Data 2027'!D22</f>
        <v>7.4999999999999997E-3</v>
      </c>
      <c r="E45" s="112">
        <f>'3. RRR Data 2027'!H22</f>
        <v>279667332.03624445</v>
      </c>
      <c r="F45" s="112">
        <f>'3. RRR Data 2027'!F22</f>
        <v>0</v>
      </c>
      <c r="G45" s="112">
        <f>IF(D45*E45=0,ROUND(D45*F45,2),ROUND(D45*E45,2))</f>
        <v>2097504.9900000002</v>
      </c>
      <c r="H45" s="113">
        <f t="shared" si="9"/>
        <v>6.5157278544898917E-2</v>
      </c>
      <c r="I45" s="112">
        <f t="shared" si="11"/>
        <v>3047190.216626259</v>
      </c>
      <c r="J45" s="100">
        <f t="shared" si="12"/>
        <v>8.2000000000000007E-3</v>
      </c>
      <c r="K45" s="121">
        <f>H45+H56</f>
        <v>9.1388936319926811E-2</v>
      </c>
      <c r="L45" s="118">
        <f t="shared" ref="L45:M49" si="13">E45+E56</f>
        <v>369500755.75386882</v>
      </c>
      <c r="M45" s="118">
        <f t="shared" si="13"/>
        <v>0</v>
      </c>
    </row>
    <row r="46" spans="1:13" x14ac:dyDescent="0.2">
      <c r="A46" s="1" t="s">
        <v>20</v>
      </c>
      <c r="B46" s="1" t="s">
        <v>17</v>
      </c>
      <c r="C46" s="99" t="s">
        <v>21</v>
      </c>
      <c r="D46" s="100">
        <f>'3. RRR Data 2027'!D24</f>
        <v>3.4744999999999999</v>
      </c>
      <c r="E46" s="112"/>
      <c r="F46" s="112">
        <f>'3. RRR Data 2027'!F24</f>
        <v>2362640.1919924114</v>
      </c>
      <c r="G46" s="112">
        <f t="shared" si="10"/>
        <v>8208993.3499999996</v>
      </c>
      <c r="H46" s="113">
        <f t="shared" si="9"/>
        <v>0.25500567046525729</v>
      </c>
      <c r="I46" s="112">
        <f t="shared" si="11"/>
        <v>11716490.674111377</v>
      </c>
      <c r="J46" s="100">
        <f>IF(I46*L46=0,ROUND(I46/M46,4),ROUND(I46/L46,4))</f>
        <v>3.6204000000000001</v>
      </c>
      <c r="K46" s="121">
        <f>H46+H57</f>
        <v>0.35139178849651398</v>
      </c>
      <c r="L46" s="118">
        <f t="shared" si="13"/>
        <v>0</v>
      </c>
      <c r="M46" s="118">
        <f t="shared" si="13"/>
        <v>3236251.567804723</v>
      </c>
    </row>
    <row r="47" spans="1:13" x14ac:dyDescent="0.2">
      <c r="A47" s="1" t="s">
        <v>20</v>
      </c>
      <c r="B47" s="1" t="s">
        <v>23</v>
      </c>
      <c r="C47" s="99" t="s">
        <v>21</v>
      </c>
      <c r="D47" s="100">
        <f>'3. RRR Data 2027'!D26</f>
        <v>0.590665</v>
      </c>
      <c r="E47" s="112"/>
      <c r="F47" s="112">
        <f>'3. RRR Data 2027'!F26</f>
        <v>15376.161525027419</v>
      </c>
      <c r="G47" s="112">
        <f t="shared" si="10"/>
        <v>9082.16</v>
      </c>
      <c r="H47" s="113">
        <f t="shared" si="9"/>
        <v>2.8212987894218986E-4</v>
      </c>
      <c r="I47" s="112">
        <f t="shared" si="11"/>
        <v>12307.132795530193</v>
      </c>
      <c r="J47" s="100">
        <f t="shared" ref="J47:J51" si="14">IF(I47*L47=0,ROUND(I47/M47,4),ROUND(I47/L47,4))</f>
        <v>0.6149</v>
      </c>
      <c r="K47" s="121">
        <f>H47+H58</f>
        <v>3.6910586322926021E-4</v>
      </c>
      <c r="L47" s="118">
        <f t="shared" si="13"/>
        <v>0</v>
      </c>
      <c r="M47" s="118">
        <f t="shared" si="13"/>
        <v>20013.267519445857</v>
      </c>
    </row>
    <row r="48" spans="1:13" x14ac:dyDescent="0.2">
      <c r="A48" s="1" t="s">
        <v>24</v>
      </c>
      <c r="B48" s="1" t="s">
        <v>25</v>
      </c>
      <c r="C48" s="99" t="s">
        <v>21</v>
      </c>
      <c r="D48" s="100">
        <f>'3. RRR Data 2027'!D28</f>
        <v>3.8157999999999999</v>
      </c>
      <c r="E48" s="112"/>
      <c r="F48" s="112">
        <f>'3. RRR Data 2027'!F28</f>
        <v>391116.45656887733</v>
      </c>
      <c r="G48" s="112">
        <f t="shared" si="10"/>
        <v>1492422.17</v>
      </c>
      <c r="H48" s="113">
        <f t="shared" si="9"/>
        <v>4.6360875183077625E-2</v>
      </c>
      <c r="I48" s="112">
        <f t="shared" si="11"/>
        <v>1545815.1826776662</v>
      </c>
      <c r="J48" s="100">
        <f t="shared" si="14"/>
        <v>2.5581</v>
      </c>
      <c r="K48" s="121">
        <f>H48+H59</f>
        <v>4.6360875183077625E-2</v>
      </c>
      <c r="L48" s="118">
        <f t="shared" si="13"/>
        <v>0</v>
      </c>
      <c r="M48" s="118">
        <f t="shared" si="13"/>
        <v>604293.44379782502</v>
      </c>
    </row>
    <row r="49" spans="1:13" x14ac:dyDescent="0.2">
      <c r="A49" s="1" t="s">
        <v>24</v>
      </c>
      <c r="B49" s="1" t="s">
        <v>26</v>
      </c>
      <c r="C49" s="99" t="s">
        <v>21</v>
      </c>
      <c r="D49" s="100">
        <f>'3. RRR Data 2027'!D30</f>
        <v>0.64868599999999998</v>
      </c>
      <c r="E49" s="112">
        <f>'3. RRR Data 2027'!H30</f>
        <v>0</v>
      </c>
      <c r="F49" s="112">
        <f>'3. RRR Data 2027'!F30</f>
        <v>0</v>
      </c>
      <c r="G49" s="112">
        <f t="shared" si="10"/>
        <v>0</v>
      </c>
      <c r="H49" s="113">
        <f t="shared" si="9"/>
        <v>0</v>
      </c>
      <c r="I49" s="112">
        <f t="shared" si="11"/>
        <v>0</v>
      </c>
      <c r="J49" s="100">
        <f>J48*0.17</f>
        <v>0.43487700000000001</v>
      </c>
      <c r="K49" s="121">
        <f>H49+H60</f>
        <v>0</v>
      </c>
      <c r="L49" s="118">
        <f t="shared" si="13"/>
        <v>0</v>
      </c>
      <c r="M49" s="118">
        <f t="shared" si="13"/>
        <v>0</v>
      </c>
    </row>
    <row r="50" spans="1:13" x14ac:dyDescent="0.2">
      <c r="A50" s="1" t="s">
        <v>27</v>
      </c>
      <c r="B50" s="1" t="s">
        <v>25</v>
      </c>
      <c r="C50" s="99" t="s">
        <v>21</v>
      </c>
      <c r="D50" s="100">
        <f>'3. RRR Data 2027'!D32</f>
        <v>3.8157999999999999</v>
      </c>
      <c r="E50" s="112"/>
      <c r="F50" s="112">
        <f>'3. RRR Data 2027'!F32</f>
        <v>742951.90772589517</v>
      </c>
      <c r="G50" s="112">
        <f t="shared" si="10"/>
        <v>2834955.89</v>
      </c>
      <c r="H50" s="113">
        <f t="shared" si="9"/>
        <v>8.8065588147769713E-2</v>
      </c>
      <c r="I50" s="112">
        <f t="shared" si="11"/>
        <v>2936379.4944050424</v>
      </c>
      <c r="J50" s="100">
        <f t="shared" si="14"/>
        <v>3.9523000000000001</v>
      </c>
      <c r="K50" s="121">
        <f>H50</f>
        <v>8.8065588147769713E-2</v>
      </c>
      <c r="L50" s="118">
        <f>E50</f>
        <v>0</v>
      </c>
      <c r="M50" s="118">
        <f>F50</f>
        <v>742951.90772589517</v>
      </c>
    </row>
    <row r="51" spans="1:13" x14ac:dyDescent="0.2">
      <c r="A51" s="1" t="s">
        <v>28</v>
      </c>
      <c r="B51" s="1" t="s">
        <v>17</v>
      </c>
      <c r="C51" s="99" t="s">
        <v>16</v>
      </c>
      <c r="D51" s="100">
        <f>'3. RRR Data 2027'!D34</f>
        <v>7.4999999999999997E-3</v>
      </c>
      <c r="E51" s="112">
        <f>'3. RRR Data 2027'!H34</f>
        <v>4779323.3810849898</v>
      </c>
      <c r="F51" s="112">
        <f>'3. RRR Data 2027'!F34</f>
        <v>0</v>
      </c>
      <c r="G51" s="112">
        <f t="shared" si="10"/>
        <v>35844.93</v>
      </c>
      <c r="H51" s="113">
        <f t="shared" si="9"/>
        <v>1.1134934598808289E-3</v>
      </c>
      <c r="I51" s="112">
        <f t="shared" si="11"/>
        <v>56301.597435794785</v>
      </c>
      <c r="J51" s="100">
        <f t="shared" si="14"/>
        <v>8.3000000000000001E-3</v>
      </c>
      <c r="K51" s="121">
        <f>H51+H61</f>
        <v>1.6885533022177872E-3</v>
      </c>
      <c r="L51" s="118">
        <f t="shared" ref="L51:M53" si="15">E51+E61</f>
        <v>6748684.5450609531</v>
      </c>
      <c r="M51" s="118">
        <f t="shared" si="15"/>
        <v>0</v>
      </c>
    </row>
    <row r="52" spans="1:13" x14ac:dyDescent="0.2">
      <c r="A52" s="1" t="s">
        <v>29</v>
      </c>
      <c r="B52" s="1" t="s">
        <v>17</v>
      </c>
      <c r="C52" s="99" t="s">
        <v>21</v>
      </c>
      <c r="D52" s="100">
        <f>'3. RRR Data 2027'!D36</f>
        <v>2.1844000000000001</v>
      </c>
      <c r="E52" s="112"/>
      <c r="F52" s="112">
        <f>'3. RRR Data 2027'!F36</f>
        <v>569.18081677203395</v>
      </c>
      <c r="G52" s="112">
        <f t="shared" si="10"/>
        <v>1243.32</v>
      </c>
      <c r="H52" s="113">
        <f t="shared" si="9"/>
        <v>3.862271982506402E-5</v>
      </c>
      <c r="I52" s="112">
        <f t="shared" si="11"/>
        <v>1535.2376612823055</v>
      </c>
      <c r="J52" s="100">
        <f>IF(I52*L52=0,ROUND(I52/M52,4),ROUND(I52/L52,4))</f>
        <v>2.3460000000000001</v>
      </c>
      <c r="K52" s="121">
        <f>H52+H62</f>
        <v>4.6043642466869465E-5</v>
      </c>
      <c r="L52" s="118">
        <f t="shared" si="15"/>
        <v>0</v>
      </c>
      <c r="M52" s="118">
        <f t="shared" si="15"/>
        <v>654.39888952205615</v>
      </c>
    </row>
    <row r="53" spans="1:13" x14ac:dyDescent="0.2">
      <c r="A53" s="1" t="s">
        <v>30</v>
      </c>
      <c r="B53" s="1" t="s">
        <v>17</v>
      </c>
      <c r="C53" s="99" t="s">
        <v>21</v>
      </c>
      <c r="D53" s="100">
        <f>'3. RRR Data 2027'!D38</f>
        <v>2.2826</v>
      </c>
      <c r="E53" s="112"/>
      <c r="F53" s="112">
        <f>'3. RRR Data 2027'!F38</f>
        <v>33229.794206584047</v>
      </c>
      <c r="G53" s="112">
        <f t="shared" si="10"/>
        <v>75850.33</v>
      </c>
      <c r="H53" s="113">
        <f t="shared" si="9"/>
        <v>2.3562285205969893E-3</v>
      </c>
      <c r="I53" s="112">
        <f t="shared" si="11"/>
        <v>107899.74605697737</v>
      </c>
      <c r="J53" s="100">
        <f t="shared" ref="J53" si="16">IF(I53*L53=0,ROUND(I53/M53,4),ROUND(I53/L53,4))</f>
        <v>2.4779</v>
      </c>
      <c r="K53" s="121">
        <f>H53+H63</f>
        <v>3.2360444607409363E-3</v>
      </c>
      <c r="L53" s="118">
        <f t="shared" si="15"/>
        <v>0</v>
      </c>
      <c r="M53" s="118">
        <f t="shared" si="15"/>
        <v>43544.269818658286</v>
      </c>
    </row>
    <row r="54" spans="1:13" x14ac:dyDescent="0.2">
      <c r="A54" s="126" t="s">
        <v>215</v>
      </c>
      <c r="D54" s="100"/>
      <c r="E54" s="112"/>
      <c r="F54" s="112"/>
      <c r="G54" s="112"/>
      <c r="H54" s="113"/>
      <c r="I54" s="112"/>
      <c r="J54" s="100"/>
      <c r="K54" s="121"/>
      <c r="L54" s="118"/>
      <c r="M54" s="118"/>
    </row>
    <row r="55" spans="1:13" x14ac:dyDescent="0.2">
      <c r="A55" s="1" t="s">
        <v>14</v>
      </c>
      <c r="B55" s="1" t="s">
        <v>17</v>
      </c>
      <c r="C55" s="14" t="s">
        <v>16</v>
      </c>
      <c r="D55" s="100">
        <f>'3. RRR Data 2027'!D41</f>
        <v>9.9000000000000008E-3</v>
      </c>
      <c r="E55" s="112">
        <f>'3. RRR Data 2027'!H41</f>
        <v>437580431.1600408</v>
      </c>
      <c r="F55" s="112">
        <f>'3. RRR Data 2027'!F41</f>
        <v>0</v>
      </c>
      <c r="G55" s="112">
        <f t="shared" si="10"/>
        <v>4332046.2699999996</v>
      </c>
      <c r="H55" s="113">
        <f t="shared" ref="H55:H64" si="17">G55/$G$64</f>
        <v>0.13457147745988454</v>
      </c>
      <c r="I55" s="112"/>
      <c r="J55" s="100"/>
    </row>
    <row r="56" spans="1:13" x14ac:dyDescent="0.2">
      <c r="A56" s="1" t="s">
        <v>19</v>
      </c>
      <c r="B56" s="1" t="s">
        <v>17</v>
      </c>
      <c r="C56" s="99" t="s">
        <v>16</v>
      </c>
      <c r="D56" s="100">
        <f>'3. RRR Data 2027'!D43</f>
        <v>9.4000000000000004E-3</v>
      </c>
      <c r="E56" s="112">
        <f>'3. RRR Data 2027'!H43</f>
        <v>89833423.717624366</v>
      </c>
      <c r="F56" s="112">
        <f>'3. RRR Data 2027'!F43</f>
        <v>0</v>
      </c>
      <c r="G56" s="112">
        <f>IF(D56*E56=0,ROUND(D56*F56,2),ROUND(D56*E56,2))</f>
        <v>844434.18</v>
      </c>
      <c r="H56" s="113">
        <f t="shared" si="17"/>
        <v>2.6231657775027898E-2</v>
      </c>
      <c r="I56" s="112"/>
      <c r="J56" s="100"/>
    </row>
    <row r="57" spans="1:13" x14ac:dyDescent="0.2">
      <c r="A57" s="1" t="s">
        <v>81</v>
      </c>
      <c r="B57" s="1" t="s">
        <v>17</v>
      </c>
      <c r="C57" s="99" t="s">
        <v>21</v>
      </c>
      <c r="D57" s="100">
        <f>'3. RRR Data 2027'!D45</f>
        <v>3.5516999999999999</v>
      </c>
      <c r="E57" s="112"/>
      <c r="F57" s="112">
        <f>'3. RRR Data 2027'!F45</f>
        <v>873611.37581231177</v>
      </c>
      <c r="G57" s="112">
        <f t="shared" si="10"/>
        <v>3102805.52</v>
      </c>
      <c r="H57" s="113">
        <f t="shared" si="17"/>
        <v>9.6386118031256712E-2</v>
      </c>
      <c r="I57" s="112"/>
      <c r="J57" s="100"/>
    </row>
    <row r="58" spans="1:13" x14ac:dyDescent="0.2">
      <c r="A58" s="1" t="s">
        <v>81</v>
      </c>
      <c r="B58" s="1" t="s">
        <v>23</v>
      </c>
      <c r="C58" s="99" t="s">
        <v>21</v>
      </c>
      <c r="D58" s="100">
        <f>'3. RRR Data 2027'!D47</f>
        <v>0.6038</v>
      </c>
      <c r="E58" s="112"/>
      <c r="F58" s="112">
        <f>'3. RRR Data 2027'!F47</f>
        <v>4637.1059944184362</v>
      </c>
      <c r="G58" s="112">
        <f t="shared" si="10"/>
        <v>2799.88</v>
      </c>
      <c r="H58" s="113">
        <f t="shared" si="17"/>
        <v>8.697598428707032E-5</v>
      </c>
      <c r="I58" s="112"/>
      <c r="J58" s="100"/>
    </row>
    <row r="59" spans="1:13" x14ac:dyDescent="0.2">
      <c r="A59" s="1" t="str">
        <f t="shared" ref="A59:C60" si="18">A48</f>
        <v>General Service 3,000 To 4,999 kW Service Classification</v>
      </c>
      <c r="B59" s="1" t="str">
        <f t="shared" si="18"/>
        <v xml:space="preserve">Retail Transmission Rate - Line and Transformation Connection Service Rate </v>
      </c>
      <c r="C59" s="14" t="str">
        <f t="shared" si="18"/>
        <v>$/kW</v>
      </c>
      <c r="D59" s="100">
        <f>'3. RRR Data 2027'!D49</f>
        <v>0</v>
      </c>
      <c r="E59" s="112"/>
      <c r="F59" s="112">
        <f>'3. RRR Data 2027'!F49</f>
        <v>213176.98722894766</v>
      </c>
      <c r="G59" s="112">
        <f t="shared" si="10"/>
        <v>0</v>
      </c>
      <c r="H59" s="113">
        <f t="shared" si="17"/>
        <v>0</v>
      </c>
      <c r="I59" s="112"/>
      <c r="J59" s="100"/>
    </row>
    <row r="60" spans="1:13" x14ac:dyDescent="0.2">
      <c r="A60" s="1" t="str">
        <f t="shared" si="18"/>
        <v>General Service 3,000 To 4,999 kW Service Classification</v>
      </c>
      <c r="B60" s="1" t="str">
        <f t="shared" si="18"/>
        <v>Retail Transmission Rate - Line and Transformation Connection Service Rate  - EV CHARGING</v>
      </c>
      <c r="C60" s="14" t="str">
        <f t="shared" si="18"/>
        <v>$/kW</v>
      </c>
      <c r="D60" s="100">
        <f>'3. RRR Data 2027'!D51</f>
        <v>0</v>
      </c>
      <c r="E60" s="112">
        <f>'3. RRR Data 2027'!H51</f>
        <v>0</v>
      </c>
      <c r="F60" s="112">
        <f>'3. RRR Data 2027'!F51</f>
        <v>0</v>
      </c>
      <c r="G60" s="112">
        <f t="shared" si="10"/>
        <v>0</v>
      </c>
      <c r="H60" s="113">
        <f t="shared" si="17"/>
        <v>0</v>
      </c>
      <c r="I60" s="112"/>
      <c r="J60" s="100"/>
    </row>
    <row r="61" spans="1:13" x14ac:dyDescent="0.2">
      <c r="A61" s="1" t="s">
        <v>28</v>
      </c>
      <c r="B61" s="1" t="s">
        <v>17</v>
      </c>
      <c r="C61" s="99" t="s">
        <v>16</v>
      </c>
      <c r="D61" s="100">
        <f>'3. RRR Data 2027'!D53</f>
        <v>9.4000000000000004E-3</v>
      </c>
      <c r="E61" s="112">
        <f>'3. RRR Data 2027'!H53</f>
        <v>1969361.1639759634</v>
      </c>
      <c r="F61" s="112">
        <f>'3. RRR Data 2027'!F53</f>
        <v>0</v>
      </c>
      <c r="G61" s="112">
        <f t="shared" si="10"/>
        <v>18511.990000000002</v>
      </c>
      <c r="H61" s="113">
        <f t="shared" si="17"/>
        <v>5.7505984233695837E-4</v>
      </c>
      <c r="I61" s="112"/>
      <c r="J61" s="100"/>
    </row>
    <row r="62" spans="1:13" x14ac:dyDescent="0.2">
      <c r="A62" s="1" t="s">
        <v>29</v>
      </c>
      <c r="B62" s="1" t="s">
        <v>17</v>
      </c>
      <c r="C62" s="14" t="s">
        <v>21</v>
      </c>
      <c r="D62" s="100">
        <f>'3. RRR Data 2027'!D55</f>
        <v>2.8033000000000001</v>
      </c>
      <c r="E62" s="112"/>
      <c r="F62" s="112">
        <f>'3. RRR Data 2027'!F55</f>
        <v>85.218072750022259</v>
      </c>
      <c r="G62" s="112">
        <f t="shared" si="10"/>
        <v>238.89</v>
      </c>
      <c r="H62" s="113">
        <f t="shared" si="17"/>
        <v>7.4209226418054435E-6</v>
      </c>
      <c r="I62" s="112"/>
      <c r="J62" s="100"/>
    </row>
    <row r="63" spans="1:13" x14ac:dyDescent="0.2">
      <c r="A63" s="1" t="s">
        <v>30</v>
      </c>
      <c r="B63" s="1" t="s">
        <v>17</v>
      </c>
      <c r="C63" s="14" t="s">
        <v>21</v>
      </c>
      <c r="D63" s="100">
        <f>'3. RRR Data 2027'!D57</f>
        <v>2.7458999999999998</v>
      </c>
      <c r="E63" s="112"/>
      <c r="F63" s="112">
        <f>'3. RRR Data 2027'!F57</f>
        <v>10314.47561207424</v>
      </c>
      <c r="G63" s="112">
        <f t="shared" si="10"/>
        <v>28322.52</v>
      </c>
      <c r="H63" s="113">
        <f t="shared" si="17"/>
        <v>8.7981594014394711E-4</v>
      </c>
      <c r="I63" s="112"/>
      <c r="J63" s="100"/>
    </row>
    <row r="64" spans="1:13" x14ac:dyDescent="0.2">
      <c r="D64" s="100"/>
      <c r="E64" s="112"/>
      <c r="F64" s="112"/>
      <c r="G64" s="112">
        <f>SUM(G43:G63)</f>
        <v>32191414.939999994</v>
      </c>
      <c r="H64" s="113">
        <f t="shared" si="17"/>
        <v>1</v>
      </c>
      <c r="I64" s="112">
        <f>'7. Forecast Wholesale 2027'!J33+'7. Forecast Wholesale 2027'!N33+'7. Forecast Wholesale 2027'!J52+'7. Forecast Wholesale 2027'!N52</f>
        <v>33343097.527242336</v>
      </c>
      <c r="J64" s="100"/>
    </row>
    <row r="66" spans="1:10" ht="15.75" x14ac:dyDescent="0.25">
      <c r="A66" s="103"/>
    </row>
    <row r="67" spans="1:10" ht="15.75" x14ac:dyDescent="0.2">
      <c r="A67" s="104"/>
      <c r="B67" s="104"/>
      <c r="C67" s="105"/>
      <c r="D67" s="106"/>
      <c r="E67" s="107"/>
      <c r="F67" s="108"/>
      <c r="G67" s="109"/>
      <c r="H67" s="110"/>
      <c r="I67" s="108"/>
      <c r="J67" s="111"/>
    </row>
    <row r="69" spans="1:10" x14ac:dyDescent="0.2">
      <c r="D69" s="100"/>
      <c r="E69" s="112"/>
      <c r="F69" s="112"/>
      <c r="G69" s="112"/>
      <c r="H69" s="113"/>
      <c r="I69" s="112"/>
      <c r="J69" s="114"/>
    </row>
    <row r="70" spans="1:10" x14ac:dyDescent="0.2">
      <c r="D70" s="100"/>
      <c r="E70" s="112"/>
      <c r="F70" s="112"/>
      <c r="G70" s="112"/>
      <c r="H70" s="113"/>
      <c r="I70" s="112"/>
      <c r="J70" s="114"/>
    </row>
    <row r="71" spans="1:10" x14ac:dyDescent="0.2">
      <c r="D71" s="100"/>
      <c r="E71" s="112"/>
      <c r="F71" s="112"/>
      <c r="G71" s="112"/>
      <c r="H71" s="113"/>
      <c r="I71" s="112"/>
      <c r="J71" s="114"/>
    </row>
    <row r="72" spans="1:10" x14ac:dyDescent="0.2">
      <c r="D72" s="100"/>
      <c r="E72" s="112"/>
      <c r="F72" s="112"/>
      <c r="G72" s="112"/>
      <c r="H72" s="113"/>
      <c r="I72" s="112"/>
      <c r="J72" s="114"/>
    </row>
    <row r="73" spans="1:10" x14ac:dyDescent="0.2">
      <c r="D73" s="100"/>
      <c r="E73" s="112"/>
      <c r="F73" s="112"/>
      <c r="G73" s="112"/>
      <c r="H73" s="113"/>
      <c r="I73" s="112"/>
      <c r="J73" s="114"/>
    </row>
    <row r="74" spans="1:10" x14ac:dyDescent="0.2">
      <c r="D74" s="100"/>
      <c r="E74" s="112"/>
      <c r="F74" s="112"/>
      <c r="G74" s="112"/>
      <c r="H74" s="113"/>
      <c r="I74" s="112"/>
      <c r="J74" s="114"/>
    </row>
    <row r="75" spans="1:10" x14ac:dyDescent="0.2">
      <c r="D75" s="100"/>
      <c r="E75" s="112"/>
      <c r="F75" s="112"/>
      <c r="G75" s="112"/>
      <c r="H75" s="113"/>
      <c r="I75" s="112"/>
      <c r="J75" s="114"/>
    </row>
    <row r="76" spans="1:10" x14ac:dyDescent="0.2">
      <c r="D76" s="100"/>
      <c r="E76" s="112"/>
      <c r="F76" s="112"/>
      <c r="G76" s="112"/>
      <c r="H76" s="113"/>
      <c r="I76" s="112"/>
      <c r="J76" s="114"/>
    </row>
    <row r="77" spans="1:10" x14ac:dyDescent="0.2">
      <c r="D77" s="100"/>
      <c r="E77" s="112"/>
      <c r="F77" s="112"/>
      <c r="G77" s="112"/>
      <c r="H77" s="113"/>
      <c r="I77" s="112"/>
      <c r="J77" s="114"/>
    </row>
    <row r="78" spans="1:10" x14ac:dyDescent="0.2">
      <c r="D78" s="100"/>
      <c r="E78" s="112"/>
      <c r="F78" s="112"/>
      <c r="G78" s="112"/>
      <c r="H78" s="113"/>
      <c r="I78" s="112"/>
      <c r="J78" s="114"/>
    </row>
    <row r="79" spans="1:10" x14ac:dyDescent="0.2">
      <c r="D79" s="100"/>
      <c r="E79" s="112"/>
      <c r="F79" s="112"/>
      <c r="G79" s="112"/>
      <c r="H79" s="113"/>
      <c r="I79" s="112"/>
      <c r="J79" s="114"/>
    </row>
    <row r="80" spans="1:10" x14ac:dyDescent="0.2">
      <c r="C80" s="1"/>
      <c r="D80" s="1"/>
      <c r="E80" s="112"/>
      <c r="F80" s="112"/>
      <c r="G80" s="112"/>
      <c r="H80" s="113"/>
      <c r="I80" s="112"/>
      <c r="J80" s="114"/>
    </row>
    <row r="81" spans="1:10" x14ac:dyDescent="0.2">
      <c r="C81" s="1"/>
      <c r="D81" s="1"/>
      <c r="E81" s="112"/>
      <c r="F81" s="112"/>
      <c r="G81" s="112"/>
      <c r="H81" s="113"/>
      <c r="I81" s="112"/>
      <c r="J81" s="114"/>
    </row>
    <row r="82" spans="1:10" x14ac:dyDescent="0.2">
      <c r="C82" s="1"/>
      <c r="D82" s="1"/>
      <c r="E82" s="112"/>
      <c r="F82" s="112"/>
      <c r="G82" s="112"/>
      <c r="H82" s="113"/>
      <c r="I82" s="112"/>
      <c r="J82" s="114"/>
    </row>
    <row r="83" spans="1:10" x14ac:dyDescent="0.2">
      <c r="C83" s="1"/>
      <c r="D83" s="1"/>
      <c r="E83" s="112"/>
      <c r="F83" s="112"/>
      <c r="G83" s="112"/>
      <c r="H83" s="113"/>
      <c r="I83" s="112"/>
      <c r="J83" s="114"/>
    </row>
    <row r="84" spans="1:10" x14ac:dyDescent="0.2">
      <c r="C84" s="1"/>
      <c r="D84" s="1"/>
      <c r="E84" s="112"/>
      <c r="F84" s="112"/>
      <c r="G84" s="112"/>
      <c r="H84" s="113"/>
      <c r="I84" s="112"/>
      <c r="J84" s="114"/>
    </row>
    <row r="85" spans="1:10" x14ac:dyDescent="0.2">
      <c r="C85" s="1"/>
      <c r="D85" s="1"/>
      <c r="E85" s="112"/>
      <c r="F85" s="112"/>
      <c r="G85" s="112"/>
      <c r="H85" s="113"/>
      <c r="I85" s="112"/>
      <c r="J85" s="114"/>
    </row>
    <row r="86" spans="1:10" x14ac:dyDescent="0.2">
      <c r="C86" s="1"/>
      <c r="D86" s="1"/>
      <c r="E86" s="112"/>
      <c r="F86" s="112"/>
      <c r="G86" s="112"/>
      <c r="H86" s="113"/>
      <c r="I86" s="112"/>
      <c r="J86" s="114"/>
    </row>
    <row r="87" spans="1:10" x14ac:dyDescent="0.2">
      <c r="D87" s="100"/>
      <c r="E87" s="112"/>
      <c r="F87" s="112"/>
      <c r="G87" s="112"/>
      <c r="H87" s="113"/>
      <c r="I87" s="112"/>
      <c r="J87" s="114"/>
    </row>
    <row r="89" spans="1:10" ht="15.75" x14ac:dyDescent="0.25">
      <c r="A89" s="103"/>
    </row>
    <row r="90" spans="1:10" ht="15.75" x14ac:dyDescent="0.2">
      <c r="A90" s="104"/>
      <c r="B90" s="104"/>
      <c r="C90" s="105"/>
      <c r="D90" s="106"/>
      <c r="E90" s="107"/>
      <c r="F90" s="108"/>
      <c r="G90" s="109"/>
      <c r="H90" s="110"/>
      <c r="I90" s="108"/>
      <c r="J90" s="111"/>
    </row>
    <row r="92" spans="1:10" x14ac:dyDescent="0.2">
      <c r="D92" s="100"/>
      <c r="E92" s="112"/>
      <c r="F92" s="112"/>
      <c r="G92" s="112"/>
      <c r="H92" s="113"/>
      <c r="I92" s="112"/>
      <c r="J92" s="114"/>
    </row>
    <row r="93" spans="1:10" x14ac:dyDescent="0.2">
      <c r="D93" s="100"/>
      <c r="E93" s="112"/>
      <c r="F93" s="112"/>
      <c r="G93" s="112"/>
      <c r="H93" s="113"/>
      <c r="I93" s="112"/>
      <c r="J93" s="114"/>
    </row>
    <row r="94" spans="1:10" x14ac:dyDescent="0.2">
      <c r="D94" s="100"/>
      <c r="E94" s="112"/>
      <c r="F94" s="112"/>
      <c r="G94" s="112"/>
      <c r="H94" s="113"/>
      <c r="I94" s="112"/>
      <c r="J94" s="114"/>
    </row>
    <row r="95" spans="1:10" x14ac:dyDescent="0.2">
      <c r="D95" s="100"/>
      <c r="E95" s="112"/>
      <c r="F95" s="112"/>
      <c r="G95" s="112"/>
      <c r="H95" s="113"/>
      <c r="I95" s="112"/>
      <c r="J95" s="114"/>
    </row>
    <row r="96" spans="1:10" x14ac:dyDescent="0.2">
      <c r="D96" s="100"/>
      <c r="E96" s="112"/>
      <c r="F96" s="112"/>
      <c r="G96" s="112"/>
      <c r="H96" s="113"/>
      <c r="I96" s="112"/>
      <c r="J96" s="114"/>
    </row>
    <row r="97" spans="3:10" x14ac:dyDescent="0.2">
      <c r="D97" s="100"/>
      <c r="E97" s="112"/>
      <c r="F97" s="112"/>
      <c r="G97" s="112"/>
      <c r="H97" s="113"/>
      <c r="I97" s="112"/>
      <c r="J97" s="114"/>
    </row>
    <row r="98" spans="3:10" x14ac:dyDescent="0.2">
      <c r="D98" s="100"/>
      <c r="E98" s="112"/>
      <c r="F98" s="112"/>
      <c r="G98" s="112"/>
      <c r="H98" s="113"/>
      <c r="I98" s="112"/>
      <c r="J98" s="114"/>
    </row>
    <row r="99" spans="3:10" x14ac:dyDescent="0.2">
      <c r="D99" s="100"/>
      <c r="E99" s="112"/>
      <c r="F99" s="112"/>
      <c r="G99" s="112"/>
      <c r="H99" s="113"/>
      <c r="I99" s="112"/>
      <c r="J99" s="114"/>
    </row>
    <row r="100" spans="3:10" x14ac:dyDescent="0.2">
      <c r="D100" s="100"/>
      <c r="E100" s="112"/>
      <c r="F100" s="112"/>
      <c r="G100" s="112"/>
      <c r="H100" s="113"/>
      <c r="I100" s="112"/>
      <c r="J100" s="114"/>
    </row>
    <row r="101" spans="3:10" x14ac:dyDescent="0.2">
      <c r="D101" s="100"/>
      <c r="E101" s="112"/>
      <c r="F101" s="112"/>
      <c r="G101" s="112"/>
      <c r="H101" s="113"/>
      <c r="I101" s="112"/>
      <c r="J101" s="114"/>
    </row>
    <row r="102" spans="3:10" x14ac:dyDescent="0.2">
      <c r="D102" s="100"/>
      <c r="E102" s="112"/>
      <c r="F102" s="112"/>
      <c r="G102" s="112"/>
      <c r="H102" s="113"/>
      <c r="I102" s="112"/>
      <c r="J102" s="114"/>
    </row>
    <row r="103" spans="3:10" x14ac:dyDescent="0.2">
      <c r="C103" s="1"/>
      <c r="D103" s="1"/>
      <c r="E103" s="112"/>
      <c r="F103" s="112"/>
      <c r="G103" s="112"/>
      <c r="H103" s="113"/>
      <c r="I103" s="112"/>
      <c r="J103" s="114"/>
    </row>
    <row r="104" spans="3:10" x14ac:dyDescent="0.2">
      <c r="C104" s="1"/>
      <c r="D104" s="1"/>
      <c r="E104" s="112"/>
      <c r="F104" s="112"/>
      <c r="G104" s="112"/>
      <c r="H104" s="113"/>
      <c r="I104" s="112"/>
      <c r="J104" s="114"/>
    </row>
    <row r="105" spans="3:10" x14ac:dyDescent="0.2">
      <c r="C105" s="1"/>
      <c r="D105" s="1"/>
      <c r="E105" s="112"/>
      <c r="F105" s="112"/>
      <c r="G105" s="112"/>
      <c r="H105" s="113"/>
      <c r="I105" s="112"/>
      <c r="J105" s="114"/>
    </row>
    <row r="106" spans="3:10" x14ac:dyDescent="0.2">
      <c r="C106" s="1"/>
      <c r="D106" s="1"/>
      <c r="E106" s="112"/>
      <c r="F106" s="112"/>
      <c r="G106" s="112"/>
      <c r="H106" s="113"/>
      <c r="I106" s="112"/>
      <c r="J106" s="114"/>
    </row>
    <row r="107" spans="3:10" x14ac:dyDescent="0.2">
      <c r="C107" s="1"/>
      <c r="D107" s="1"/>
      <c r="E107" s="112"/>
      <c r="F107" s="112"/>
      <c r="G107" s="112"/>
      <c r="H107" s="113"/>
      <c r="I107" s="112"/>
      <c r="J107" s="114"/>
    </row>
    <row r="108" spans="3:10" x14ac:dyDescent="0.2">
      <c r="C108" s="1"/>
      <c r="D108" s="1"/>
      <c r="E108" s="112"/>
      <c r="F108" s="112"/>
      <c r="G108" s="112"/>
      <c r="H108" s="113"/>
      <c r="I108" s="112"/>
      <c r="J108" s="114"/>
    </row>
    <row r="109" spans="3:10" x14ac:dyDescent="0.2">
      <c r="C109" s="1"/>
      <c r="D109" s="1"/>
      <c r="E109" s="112"/>
      <c r="F109" s="112"/>
      <c r="G109" s="112"/>
      <c r="H109" s="113"/>
      <c r="I109" s="112"/>
      <c r="J109" s="114"/>
    </row>
    <row r="110" spans="3:10" x14ac:dyDescent="0.2">
      <c r="D110" s="100"/>
      <c r="E110" s="112"/>
      <c r="F110" s="112"/>
      <c r="G110" s="112"/>
      <c r="H110" s="113"/>
      <c r="I110" s="112"/>
      <c r="J110" s="114"/>
    </row>
    <row r="111" spans="3:10" x14ac:dyDescent="0.2">
      <c r="D111" s="100"/>
      <c r="E111" s="112"/>
      <c r="F111" s="112"/>
      <c r="G111" s="112"/>
      <c r="H111" s="113"/>
      <c r="I111" s="112"/>
      <c r="J111" s="114"/>
    </row>
    <row r="112" spans="3:10" x14ac:dyDescent="0.2">
      <c r="D112" s="100"/>
      <c r="E112" s="112"/>
      <c r="F112" s="112"/>
      <c r="G112" s="112"/>
      <c r="H112" s="113"/>
      <c r="I112" s="112"/>
      <c r="J112" s="114"/>
    </row>
    <row r="113" spans="4:10" x14ac:dyDescent="0.2">
      <c r="D113" s="100"/>
      <c r="E113" s="112"/>
      <c r="F113" s="112"/>
      <c r="G113" s="112"/>
      <c r="H113" s="113"/>
      <c r="I113" s="112"/>
      <c r="J113" s="114"/>
    </row>
  </sheetData>
  <mergeCells count="2">
    <mergeCell ref="I13:J13"/>
    <mergeCell ref="C13:H1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D5E6E-8274-4B3D-BE62-AD87945D6E24}">
  <dimension ref="A13:R113"/>
  <sheetViews>
    <sheetView topLeftCell="B4" workbookViewId="0">
      <selection activeCell="R33" sqref="R33"/>
    </sheetView>
  </sheetViews>
  <sheetFormatPr defaultColWidth="9.28515625" defaultRowHeight="12.75" x14ac:dyDescent="0.2"/>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x14ac:dyDescent="0.25">
      <c r="B13" s="244" t="s">
        <v>70</v>
      </c>
      <c r="C13" s="243"/>
      <c r="D13" s="243"/>
      <c r="E13" s="243"/>
      <c r="F13" s="243"/>
      <c r="G13" s="243"/>
      <c r="H13" s="243"/>
      <c r="I13" s="243"/>
      <c r="J13" s="243"/>
      <c r="K13" s="243"/>
      <c r="L13" s="243"/>
      <c r="M13" s="243"/>
      <c r="N13" s="243"/>
      <c r="O13" s="243"/>
      <c r="P13" s="243"/>
    </row>
    <row r="16" spans="2:17" x14ac:dyDescent="0.2">
      <c r="B16" s="71" t="s">
        <v>47</v>
      </c>
      <c r="C16" s="72"/>
      <c r="D16" s="240" t="s">
        <v>0</v>
      </c>
      <c r="E16" s="240"/>
      <c r="F16" s="240"/>
      <c r="G16" s="72"/>
      <c r="H16" s="240" t="s">
        <v>1</v>
      </c>
      <c r="I16" s="240"/>
      <c r="J16" s="240"/>
      <c r="K16" s="72"/>
      <c r="L16" s="240" t="s">
        <v>2</v>
      </c>
      <c r="M16" s="240"/>
      <c r="N16" s="240"/>
      <c r="O16" s="72"/>
      <c r="P16" s="71" t="s">
        <v>48</v>
      </c>
      <c r="Q16" s="26"/>
    </row>
    <row r="17" spans="2:17" ht="15.75" x14ac:dyDescent="0.25">
      <c r="B17" s="26"/>
      <c r="C17" s="26"/>
      <c r="D17" s="241"/>
      <c r="E17" s="241"/>
      <c r="F17" s="241"/>
      <c r="G17" s="26"/>
      <c r="H17" s="241"/>
      <c r="I17" s="241"/>
      <c r="J17" s="241"/>
      <c r="K17" s="26"/>
      <c r="L17" s="241"/>
      <c r="M17" s="241"/>
      <c r="N17" s="241"/>
      <c r="O17" s="26"/>
      <c r="P17" s="90"/>
      <c r="Q17" s="73"/>
    </row>
    <row r="18" spans="2:17" x14ac:dyDescent="0.2">
      <c r="B18" s="74" t="s">
        <v>49</v>
      </c>
      <c r="C18" s="26"/>
      <c r="D18" s="90" t="s">
        <v>50</v>
      </c>
      <c r="E18" s="90" t="s">
        <v>9</v>
      </c>
      <c r="F18" s="90" t="s">
        <v>51</v>
      </c>
      <c r="G18" s="26"/>
      <c r="H18" s="90" t="s">
        <v>50</v>
      </c>
      <c r="I18" s="90" t="s">
        <v>9</v>
      </c>
      <c r="J18" s="90" t="s">
        <v>51</v>
      </c>
      <c r="K18" s="26"/>
      <c r="L18" s="90" t="s">
        <v>50</v>
      </c>
      <c r="M18" s="90" t="s">
        <v>9</v>
      </c>
      <c r="N18" s="90" t="s">
        <v>51</v>
      </c>
      <c r="O18" s="26"/>
      <c r="P18" s="90" t="s">
        <v>51</v>
      </c>
      <c r="Q18" s="26"/>
    </row>
    <row r="19" spans="2:17" x14ac:dyDescent="0.2">
      <c r="B19" s="26"/>
      <c r="C19" s="26"/>
      <c r="D19" s="26"/>
      <c r="E19" s="26"/>
      <c r="F19" s="26"/>
      <c r="G19" s="26"/>
      <c r="H19" s="26"/>
      <c r="I19" s="26"/>
      <c r="J19" s="26"/>
      <c r="K19" s="26"/>
      <c r="L19" s="26"/>
      <c r="M19" s="26"/>
      <c r="N19" s="26"/>
      <c r="O19" s="26"/>
      <c r="P19" s="26"/>
      <c r="Q19" s="26"/>
    </row>
    <row r="20" spans="2:17" x14ac:dyDescent="0.2">
      <c r="B20" s="27" t="s">
        <v>52</v>
      </c>
      <c r="C20" s="26"/>
      <c r="D20" s="97">
        <v>340140.8412496376</v>
      </c>
      <c r="E20" s="92">
        <f>'4. UTRs &amp; Sub-Transmission'!N22</f>
        <v>7.1481991043613062</v>
      </c>
      <c r="F20" s="98">
        <f>D20*E20</f>
        <v>2431394.4567773608</v>
      </c>
      <c r="G20" s="26"/>
      <c r="H20" s="97">
        <v>176003.67395764327</v>
      </c>
      <c r="I20" s="92">
        <f>'4. UTRs &amp; Sub-Transmission'!N24</f>
        <v>1.1490413208541306</v>
      </c>
      <c r="J20" s="98">
        <f>H20*I20</f>
        <v>202235.49399947017</v>
      </c>
      <c r="K20" s="26"/>
      <c r="L20" s="97">
        <v>362402.67243484105</v>
      </c>
      <c r="M20" s="92">
        <f>'4. UTRs &amp; Sub-Transmission'!N26</f>
        <v>3.8713368613240311</v>
      </c>
      <c r="N20" s="98">
        <f>L20*M20</f>
        <v>1402982.8244393384</v>
      </c>
      <c r="O20" s="26"/>
      <c r="P20" s="80">
        <f t="shared" ref="P20:P31" si="0">J20+N20</f>
        <v>1605218.3184388087</v>
      </c>
      <c r="Q20" s="26"/>
    </row>
    <row r="21" spans="2:17" x14ac:dyDescent="0.2">
      <c r="B21" s="27" t="s">
        <v>53</v>
      </c>
      <c r="C21" s="26"/>
      <c r="D21" s="97">
        <v>333746.60280656768</v>
      </c>
      <c r="E21" s="92">
        <f>E20</f>
        <v>7.1481991043613062</v>
      </c>
      <c r="F21" s="98">
        <f t="shared" ref="F21:F31" si="1">D21*E21</f>
        <v>2385687.1672655358</v>
      </c>
      <c r="G21" s="26"/>
      <c r="H21" s="97">
        <v>184853.92637324109</v>
      </c>
      <c r="I21" s="92">
        <f>I20</f>
        <v>1.1490413208541306</v>
      </c>
      <c r="J21" s="98">
        <f t="shared" ref="J21:J31" si="2">H21*I21</f>
        <v>212404.79972498116</v>
      </c>
      <c r="K21" s="26"/>
      <c r="L21" s="97">
        <v>354593.49644046748</v>
      </c>
      <c r="M21" s="92">
        <f>M20</f>
        <v>3.8713368613240311</v>
      </c>
      <c r="N21" s="98">
        <f t="shared" ref="N21:N31" si="3">L21*M21</f>
        <v>1372750.8735557534</v>
      </c>
      <c r="O21" s="26"/>
      <c r="P21" s="80">
        <f t="shared" si="0"/>
        <v>1585155.6732807346</v>
      </c>
      <c r="Q21" s="26"/>
    </row>
    <row r="22" spans="2:17" x14ac:dyDescent="0.2">
      <c r="B22" s="27" t="s">
        <v>54</v>
      </c>
      <c r="C22" s="26"/>
      <c r="D22" s="97">
        <v>328308.52247493993</v>
      </c>
      <c r="E22" s="92">
        <f>E21</f>
        <v>7.1481991043613062</v>
      </c>
      <c r="F22" s="98">
        <f t="shared" si="1"/>
        <v>2346814.6863095495</v>
      </c>
      <c r="G22" s="26"/>
      <c r="H22" s="97">
        <v>176765.73307529787</v>
      </c>
      <c r="I22" s="92">
        <f t="shared" ref="I22:I31" si="4">I21</f>
        <v>1.1490413208541306</v>
      </c>
      <c r="J22" s="98">
        <f t="shared" si="2"/>
        <v>203111.13141458895</v>
      </c>
      <c r="K22" s="26"/>
      <c r="L22" s="97">
        <v>337661.66773807828</v>
      </c>
      <c r="M22" s="92">
        <f t="shared" ref="M22:M31" si="5">M21</f>
        <v>3.8713368613240311</v>
      </c>
      <c r="N22" s="98">
        <f t="shared" si="3"/>
        <v>1307202.0609705697</v>
      </c>
      <c r="O22" s="26"/>
      <c r="P22" s="80">
        <f t="shared" si="0"/>
        <v>1510313.1923851587</v>
      </c>
      <c r="Q22" s="26"/>
    </row>
    <row r="23" spans="2:17" x14ac:dyDescent="0.2">
      <c r="B23" s="27" t="s">
        <v>55</v>
      </c>
      <c r="C23" s="26"/>
      <c r="D23" s="97">
        <v>319460.47572972608</v>
      </c>
      <c r="E23" s="92">
        <f t="shared" ref="E23:E31" si="6">E22</f>
        <v>7.1481991043613062</v>
      </c>
      <c r="F23" s="98">
        <f t="shared" si="1"/>
        <v>2283567.0864900649</v>
      </c>
      <c r="G23" s="26"/>
      <c r="H23" s="97">
        <v>168930.08903631687</v>
      </c>
      <c r="I23" s="92">
        <f t="shared" si="4"/>
        <v>1.1490413208541306</v>
      </c>
      <c r="J23" s="98">
        <f t="shared" si="2"/>
        <v>194107.65263829543</v>
      </c>
      <c r="K23" s="26"/>
      <c r="L23" s="97">
        <v>321969.4257914687</v>
      </c>
      <c r="M23" s="92">
        <f t="shared" si="5"/>
        <v>3.8713368613240311</v>
      </c>
      <c r="N23" s="98">
        <f t="shared" si="3"/>
        <v>1246452.1062858449</v>
      </c>
      <c r="O23" s="26"/>
      <c r="P23" s="80">
        <f t="shared" si="0"/>
        <v>1440559.7589241404</v>
      </c>
      <c r="Q23" s="26"/>
    </row>
    <row r="24" spans="2:17" x14ac:dyDescent="0.2">
      <c r="B24" s="27" t="s">
        <v>56</v>
      </c>
      <c r="C24" s="26"/>
      <c r="D24" s="97">
        <v>392314.87134677375</v>
      </c>
      <c r="E24" s="92">
        <f t="shared" si="6"/>
        <v>7.1481991043613062</v>
      </c>
      <c r="F24" s="98">
        <f t="shared" si="1"/>
        <v>2804344.8119886294</v>
      </c>
      <c r="G24" s="26"/>
      <c r="H24" s="97">
        <v>225229.82558663073</v>
      </c>
      <c r="I24" s="92">
        <f t="shared" si="4"/>
        <v>1.1490413208541306</v>
      </c>
      <c r="J24" s="98">
        <f t="shared" si="2"/>
        <v>258798.37628780762</v>
      </c>
      <c r="K24" s="26"/>
      <c r="L24" s="97">
        <v>404489.06903098361</v>
      </c>
      <c r="M24" s="92">
        <f t="shared" si="5"/>
        <v>3.8713368613240311</v>
      </c>
      <c r="N24" s="98">
        <f t="shared" si="3"/>
        <v>1565913.4429422873</v>
      </c>
      <c r="O24" s="26"/>
      <c r="P24" s="80">
        <f t="shared" si="0"/>
        <v>1824711.819230095</v>
      </c>
      <c r="Q24" s="26"/>
    </row>
    <row r="25" spans="2:17" x14ac:dyDescent="0.2">
      <c r="B25" s="27" t="s">
        <v>57</v>
      </c>
      <c r="C25" s="26"/>
      <c r="D25" s="97">
        <v>446554.51175847871</v>
      </c>
      <c r="E25" s="92">
        <f t="shared" si="6"/>
        <v>7.1481991043613062</v>
      </c>
      <c r="F25" s="98">
        <f t="shared" si="1"/>
        <v>3192060.561000458</v>
      </c>
      <c r="G25" s="26"/>
      <c r="H25" s="97">
        <v>280950.5736611578</v>
      </c>
      <c r="I25" s="92">
        <f t="shared" si="4"/>
        <v>1.1490413208541306</v>
      </c>
      <c r="J25" s="98">
        <f t="shared" si="2"/>
        <v>322823.81825434248</v>
      </c>
      <c r="K25" s="26"/>
      <c r="L25" s="97">
        <v>482900.65118039231</v>
      </c>
      <c r="M25" s="92">
        <f t="shared" si="5"/>
        <v>3.8713368613240311</v>
      </c>
      <c r="N25" s="98">
        <f t="shared" si="3"/>
        <v>1869471.0912720307</v>
      </c>
      <c r="O25" s="26"/>
      <c r="P25" s="80">
        <f t="shared" si="0"/>
        <v>2192294.9095263733</v>
      </c>
      <c r="Q25" s="26"/>
    </row>
    <row r="26" spans="2:17" x14ac:dyDescent="0.2">
      <c r="B26" s="27" t="s">
        <v>58</v>
      </c>
      <c r="C26" s="26"/>
      <c r="D26" s="97">
        <v>488541.6531873435</v>
      </c>
      <c r="E26" s="92">
        <f t="shared" si="6"/>
        <v>7.1481991043613062</v>
      </c>
      <c r="F26" s="98">
        <f t="shared" si="1"/>
        <v>3492193.0077569606</v>
      </c>
      <c r="G26" s="26"/>
      <c r="H26" s="97">
        <v>294243.04623003019</v>
      </c>
      <c r="I26" s="92">
        <f t="shared" si="4"/>
        <v>1.1490413208541306</v>
      </c>
      <c r="J26" s="98">
        <f t="shared" si="2"/>
        <v>338097.41849229689</v>
      </c>
      <c r="K26" s="26"/>
      <c r="L26" s="97">
        <v>501012.51353819459</v>
      </c>
      <c r="M26" s="92">
        <f t="shared" si="5"/>
        <v>3.8713368613240311</v>
      </c>
      <c r="N26" s="98">
        <f t="shared" si="3"/>
        <v>1939588.2116450178</v>
      </c>
      <c r="O26" s="26"/>
      <c r="P26" s="80">
        <f t="shared" si="0"/>
        <v>2277685.6301373146</v>
      </c>
      <c r="Q26" s="26"/>
    </row>
    <row r="27" spans="2:17" x14ac:dyDescent="0.2">
      <c r="B27" s="27" t="s">
        <v>59</v>
      </c>
      <c r="C27" s="26"/>
      <c r="D27" s="97">
        <v>475042.95043757185</v>
      </c>
      <c r="E27" s="92">
        <f t="shared" si="6"/>
        <v>7.1481991043613062</v>
      </c>
      <c r="F27" s="98">
        <f t="shared" si="1"/>
        <v>3395701.5928510036</v>
      </c>
      <c r="G27" s="26"/>
      <c r="H27" s="97">
        <v>285328.82937329775</v>
      </c>
      <c r="I27" s="92">
        <f t="shared" si="4"/>
        <v>1.1490413208541306</v>
      </c>
      <c r="J27" s="98">
        <f t="shared" si="2"/>
        <v>327854.61498085689</v>
      </c>
      <c r="K27" s="26"/>
      <c r="L27" s="97">
        <v>493109.59655250312</v>
      </c>
      <c r="M27" s="92">
        <f t="shared" si="5"/>
        <v>3.8713368613240311</v>
      </c>
      <c r="N27" s="98">
        <f t="shared" si="3"/>
        <v>1908993.3578063266</v>
      </c>
      <c r="O27" s="26"/>
      <c r="P27" s="80">
        <f t="shared" si="0"/>
        <v>2236847.9727871837</v>
      </c>
      <c r="Q27" s="26"/>
    </row>
    <row r="28" spans="2:17" x14ac:dyDescent="0.2">
      <c r="B28" s="27" t="s">
        <v>60</v>
      </c>
      <c r="C28" s="26"/>
      <c r="D28" s="97">
        <v>412975.38583322981</v>
      </c>
      <c r="E28" s="92">
        <f t="shared" si="6"/>
        <v>7.1481991043613062</v>
      </c>
      <c r="F28" s="98">
        <f t="shared" si="1"/>
        <v>2952030.283136358</v>
      </c>
      <c r="G28" s="26"/>
      <c r="H28" s="97">
        <v>232598.9703394064</v>
      </c>
      <c r="I28" s="92">
        <f t="shared" si="4"/>
        <v>1.1490413208541306</v>
      </c>
      <c r="J28" s="98">
        <f t="shared" si="2"/>
        <v>267265.82810810226</v>
      </c>
      <c r="K28" s="26"/>
      <c r="L28" s="97">
        <v>414076.01535482059</v>
      </c>
      <c r="M28" s="92">
        <f t="shared" si="5"/>
        <v>3.8713368613240311</v>
      </c>
      <c r="N28" s="98">
        <f t="shared" si="3"/>
        <v>1603027.7416332925</v>
      </c>
      <c r="O28" s="26"/>
      <c r="P28" s="80">
        <f t="shared" si="0"/>
        <v>1870293.5697413948</v>
      </c>
      <c r="Q28" s="26"/>
    </row>
    <row r="29" spans="2:17" x14ac:dyDescent="0.2">
      <c r="B29" s="27" t="s">
        <v>61</v>
      </c>
      <c r="C29" s="26"/>
      <c r="D29" s="97">
        <v>338235.14203790517</v>
      </c>
      <c r="E29" s="92">
        <f t="shared" si="6"/>
        <v>7.1481991043613062</v>
      </c>
      <c r="F29" s="98">
        <f t="shared" si="1"/>
        <v>2417772.1393788732</v>
      </c>
      <c r="G29" s="26"/>
      <c r="H29" s="97">
        <v>243342.79077962495</v>
      </c>
      <c r="I29" s="92">
        <f t="shared" si="4"/>
        <v>1.1490413208541306</v>
      </c>
      <c r="J29" s="98">
        <f t="shared" si="2"/>
        <v>279610.92173775058</v>
      </c>
      <c r="K29" s="26"/>
      <c r="L29" s="97">
        <v>354418.14564494352</v>
      </c>
      <c r="M29" s="92">
        <f t="shared" si="5"/>
        <v>3.8713368613240311</v>
      </c>
      <c r="N29" s="98">
        <f t="shared" si="3"/>
        <v>1372072.0315573791</v>
      </c>
      <c r="O29" s="26"/>
      <c r="P29" s="80">
        <f t="shared" si="0"/>
        <v>1651682.9532951296</v>
      </c>
      <c r="Q29" s="26"/>
    </row>
    <row r="30" spans="2:17" x14ac:dyDescent="0.2">
      <c r="B30" s="27" t="s">
        <v>62</v>
      </c>
      <c r="C30" s="26"/>
      <c r="D30" s="97">
        <v>325569.07985807455</v>
      </c>
      <c r="E30" s="92">
        <f t="shared" si="6"/>
        <v>7.1481991043613062</v>
      </c>
      <c r="F30" s="98">
        <f t="shared" si="1"/>
        <v>2327232.6050492232</v>
      </c>
      <c r="G30" s="26"/>
      <c r="H30" s="97">
        <v>184977.4439147423</v>
      </c>
      <c r="I30" s="92">
        <f t="shared" si="4"/>
        <v>1.1490413208541306</v>
      </c>
      <c r="J30" s="98">
        <f t="shared" si="2"/>
        <v>212546.72648401634</v>
      </c>
      <c r="K30" s="26"/>
      <c r="L30" s="97">
        <v>305419.17806550284</v>
      </c>
      <c r="M30" s="92">
        <f t="shared" si="5"/>
        <v>3.8713368613240311</v>
      </c>
      <c r="N30" s="98">
        <f t="shared" si="3"/>
        <v>1182380.5222002692</v>
      </c>
      <c r="O30" s="26"/>
      <c r="P30" s="80">
        <f t="shared" si="0"/>
        <v>1394927.2486842854</v>
      </c>
      <c r="Q30" s="26"/>
    </row>
    <row r="31" spans="2:17" x14ac:dyDescent="0.2">
      <c r="B31" s="27" t="s">
        <v>63</v>
      </c>
      <c r="C31" s="26"/>
      <c r="D31" s="97">
        <v>354568.13123105204</v>
      </c>
      <c r="E31" s="92">
        <f t="shared" si="6"/>
        <v>7.1481991043613062</v>
      </c>
      <c r="F31" s="98">
        <f t="shared" si="1"/>
        <v>2534523.5981008685</v>
      </c>
      <c r="G31" s="26"/>
      <c r="H31" s="97">
        <v>228047.56950212634</v>
      </c>
      <c r="I31" s="92">
        <f t="shared" si="4"/>
        <v>1.1490413208541306</v>
      </c>
      <c r="J31" s="98">
        <f t="shared" si="2"/>
        <v>262036.0804782974</v>
      </c>
      <c r="K31" s="26"/>
      <c r="L31" s="97">
        <v>353403.53726832668</v>
      </c>
      <c r="M31" s="92">
        <f t="shared" si="5"/>
        <v>3.8713368613240311</v>
      </c>
      <c r="N31" s="98">
        <f t="shared" si="3"/>
        <v>1368144.1407491739</v>
      </c>
      <c r="O31" s="26"/>
      <c r="P31" s="80">
        <f t="shared" si="0"/>
        <v>1630180.2212274713</v>
      </c>
      <c r="Q31" s="26"/>
    </row>
    <row r="32" spans="2:17" x14ac:dyDescent="0.2">
      <c r="B32" s="26"/>
      <c r="C32" s="26"/>
      <c r="D32" s="26"/>
      <c r="E32" s="26"/>
      <c r="F32" s="26"/>
      <c r="G32" s="26"/>
      <c r="H32" s="26"/>
      <c r="I32" s="26"/>
      <c r="J32" s="26"/>
      <c r="K32" s="26"/>
      <c r="L32" s="26"/>
      <c r="M32" s="26"/>
      <c r="N32" s="26"/>
      <c r="O32" s="26"/>
      <c r="P32" s="26"/>
      <c r="Q32" s="26"/>
    </row>
    <row r="33" spans="2:18" ht="13.5" thickBot="1" x14ac:dyDescent="0.25">
      <c r="B33" s="74" t="s">
        <v>3</v>
      </c>
      <c r="C33" s="26"/>
      <c r="D33" s="81">
        <f>SUM(D20:D31)</f>
        <v>4555458.1679513007</v>
      </c>
      <c r="E33" s="82">
        <f>IF(D33&lt;&gt;0,F33/D33,0)</f>
        <v>7.1481991043613045</v>
      </c>
      <c r="F33" s="83">
        <f>SUM(F20:F31)</f>
        <v>32563321.996104877</v>
      </c>
      <c r="G33" s="26"/>
      <c r="H33" s="81">
        <f>SUM(H20:H31)</f>
        <v>2681272.4718295159</v>
      </c>
      <c r="I33" s="82">
        <f>IF(H33&lt;&gt;0,J33/H33,0)</f>
        <v>1.1490413208541306</v>
      </c>
      <c r="J33" s="83">
        <f>SUM(J20:J31)</f>
        <v>3080892.8626008066</v>
      </c>
      <c r="K33" s="26"/>
      <c r="L33" s="81">
        <f>SUM(L20:L31)</f>
        <v>4685455.9690405224</v>
      </c>
      <c r="M33" s="82">
        <f>IF(L33&lt;&gt;0,N33/L33,0)</f>
        <v>3.8713368613240315</v>
      </c>
      <c r="N33" s="83">
        <f>SUM(N20:N31)</f>
        <v>18138978.405057285</v>
      </c>
      <c r="O33" s="26"/>
      <c r="P33" s="83">
        <f>SUM(P20:P31)</f>
        <v>21219871.267658092</v>
      </c>
      <c r="Q33" s="26"/>
      <c r="R33" s="124"/>
    </row>
    <row r="34" spans="2:18" x14ac:dyDescent="0.2">
      <c r="B34" s="26"/>
      <c r="C34" s="26"/>
      <c r="D34" s="26"/>
      <c r="E34" s="26"/>
      <c r="F34" s="26"/>
      <c r="G34" s="26"/>
      <c r="H34" s="26"/>
      <c r="I34" s="26"/>
      <c r="J34" s="26"/>
      <c r="K34" s="26"/>
      <c r="L34" s="26"/>
      <c r="M34" s="26"/>
      <c r="N34" s="26"/>
      <c r="O34" s="26"/>
      <c r="P34" s="26"/>
      <c r="Q34" s="26"/>
    </row>
    <row r="35" spans="2:18" x14ac:dyDescent="0.2">
      <c r="B35" s="71" t="s">
        <v>64</v>
      </c>
      <c r="C35" s="72"/>
      <c r="D35" s="240" t="s">
        <v>0</v>
      </c>
      <c r="E35" s="240"/>
      <c r="F35" s="240"/>
      <c r="G35" s="72"/>
      <c r="H35" s="240" t="s">
        <v>1</v>
      </c>
      <c r="I35" s="240"/>
      <c r="J35" s="240"/>
      <c r="K35" s="72"/>
      <c r="L35" s="240" t="s">
        <v>2</v>
      </c>
      <c r="M35" s="240"/>
      <c r="N35" s="240"/>
      <c r="O35" s="72"/>
      <c r="P35" s="71" t="s">
        <v>48</v>
      </c>
      <c r="Q35" s="26"/>
    </row>
    <row r="36" spans="2:18" x14ac:dyDescent="0.2">
      <c r="B36" s="74"/>
      <c r="C36" s="26"/>
      <c r="D36" s="90"/>
      <c r="E36" s="90"/>
      <c r="F36" s="90"/>
      <c r="G36" s="26"/>
      <c r="H36" s="90"/>
      <c r="I36" s="90"/>
      <c r="J36" s="90"/>
      <c r="K36" s="26"/>
      <c r="L36" s="90"/>
      <c r="M36" s="90"/>
      <c r="N36" s="90"/>
      <c r="O36" s="26"/>
      <c r="P36" s="90"/>
      <c r="Q36" s="26"/>
    </row>
    <row r="37" spans="2:18" x14ac:dyDescent="0.2">
      <c r="B37" s="74" t="s">
        <v>49</v>
      </c>
      <c r="C37" s="26"/>
      <c r="D37" s="90" t="s">
        <v>50</v>
      </c>
      <c r="E37" s="90" t="s">
        <v>9</v>
      </c>
      <c r="F37" s="90" t="s">
        <v>51</v>
      </c>
      <c r="G37" s="26"/>
      <c r="H37" s="90" t="s">
        <v>50</v>
      </c>
      <c r="I37" s="90" t="s">
        <v>9</v>
      </c>
      <c r="J37" s="90" t="s">
        <v>51</v>
      </c>
      <c r="K37" s="26"/>
      <c r="L37" s="90" t="s">
        <v>50</v>
      </c>
      <c r="M37" s="90" t="s">
        <v>9</v>
      </c>
      <c r="N37" s="90" t="s">
        <v>51</v>
      </c>
      <c r="O37" s="26"/>
      <c r="P37" s="90" t="s">
        <v>51</v>
      </c>
      <c r="Q37" s="26"/>
    </row>
    <row r="38" spans="2:18" x14ac:dyDescent="0.2">
      <c r="B38" s="26"/>
      <c r="C38" s="26"/>
      <c r="D38" s="26"/>
      <c r="E38" s="26"/>
      <c r="F38" s="26"/>
      <c r="G38" s="26"/>
      <c r="H38" s="26"/>
      <c r="I38" s="26"/>
      <c r="J38" s="26"/>
      <c r="K38" s="26"/>
      <c r="L38" s="26"/>
      <c r="M38" s="26"/>
      <c r="N38" s="26"/>
      <c r="O38" s="26"/>
      <c r="P38" s="26"/>
      <c r="Q38" s="26"/>
    </row>
    <row r="39" spans="2:18" x14ac:dyDescent="0.2">
      <c r="B39" s="27" t="s">
        <v>52</v>
      </c>
      <c r="C39" s="26"/>
      <c r="D39" s="97">
        <v>297764.61956504412</v>
      </c>
      <c r="E39" s="92">
        <f>'4. UTRs &amp; Sub-Transmission'!N35</f>
        <v>6.1199323411799424</v>
      </c>
      <c r="F39" s="98">
        <f>D39*E39</f>
        <v>1822299.3253352554</v>
      </c>
      <c r="G39" s="26"/>
      <c r="H39" s="97">
        <v>270722.92420419113</v>
      </c>
      <c r="I39" s="92">
        <f>'4. UTRs &amp; Sub-Transmission'!N37</f>
        <v>0.78692596867039188</v>
      </c>
      <c r="J39" s="98">
        <f>H39*I39</f>
        <v>213038.89937066418</v>
      </c>
      <c r="K39" s="26"/>
      <c r="L39" s="97">
        <v>313884.87184965902</v>
      </c>
      <c r="M39" s="92">
        <f>'4. UTRs &amp; Sub-Transmission'!N39</f>
        <v>3.9900429829507966</v>
      </c>
      <c r="N39" s="98">
        <f>L39*M39</f>
        <v>1252414.130378142</v>
      </c>
      <c r="O39" s="26"/>
      <c r="P39" s="80">
        <f t="shared" ref="P39:P50" si="7">J39+N39</f>
        <v>1465453.0297488063</v>
      </c>
      <c r="Q39" s="26"/>
    </row>
    <row r="40" spans="2:18" x14ac:dyDescent="0.2">
      <c r="B40" s="27" t="s">
        <v>53</v>
      </c>
      <c r="C40" s="26"/>
      <c r="D40" s="97">
        <v>297884.91682778473</v>
      </c>
      <c r="E40" s="92">
        <f t="shared" ref="E40:E50" si="8">E39</f>
        <v>6.1199323411799424</v>
      </c>
      <c r="F40" s="98">
        <f t="shared" ref="F40:F50" si="9">D40*E40</f>
        <v>1823035.536444057</v>
      </c>
      <c r="G40" s="26"/>
      <c r="H40" s="97">
        <v>248257.28907551075</v>
      </c>
      <c r="I40" s="92">
        <f t="shared" ref="I40:I50" si="10">I39</f>
        <v>0.78692596867039188</v>
      </c>
      <c r="J40" s="98">
        <f t="shared" ref="J40:J50" si="11">H40*I40</f>
        <v>195360.10768523181</v>
      </c>
      <c r="K40" s="26"/>
      <c r="L40" s="97">
        <v>299510.97011988808</v>
      </c>
      <c r="M40" s="92">
        <f t="shared" ref="M40:M50" si="12">M39</f>
        <v>3.9900429829507966</v>
      </c>
      <c r="N40" s="98">
        <f t="shared" ref="N40:N50" si="13">L40*M40</f>
        <v>1195061.644643645</v>
      </c>
      <c r="O40" s="26"/>
      <c r="P40" s="80">
        <f t="shared" si="7"/>
        <v>1390421.7523288769</v>
      </c>
      <c r="Q40" s="26"/>
    </row>
    <row r="41" spans="2:18" x14ac:dyDescent="0.2">
      <c r="B41" s="27" t="s">
        <v>54</v>
      </c>
      <c r="C41" s="26"/>
      <c r="D41" s="97">
        <v>250657.22387852674</v>
      </c>
      <c r="E41" s="92">
        <f t="shared" si="8"/>
        <v>6.1199323411799424</v>
      </c>
      <c r="F41" s="98">
        <f t="shared" si="9"/>
        <v>1534005.2509645771</v>
      </c>
      <c r="G41" s="26"/>
      <c r="H41" s="97">
        <v>213784.05054672019</v>
      </c>
      <c r="I41" s="92">
        <f t="shared" si="10"/>
        <v>0.78692596867039188</v>
      </c>
      <c r="J41" s="98">
        <f t="shared" si="11"/>
        <v>168232.2210627578</v>
      </c>
      <c r="K41" s="26"/>
      <c r="L41" s="97">
        <v>255248.6245482197</v>
      </c>
      <c r="M41" s="92">
        <f t="shared" si="12"/>
        <v>3.9900429829507966</v>
      </c>
      <c r="N41" s="98">
        <f t="shared" si="13"/>
        <v>1018452.9832864664</v>
      </c>
      <c r="O41" s="26"/>
      <c r="P41" s="80">
        <f t="shared" si="7"/>
        <v>1186685.2043492242</v>
      </c>
      <c r="Q41" s="26"/>
    </row>
    <row r="42" spans="2:18" x14ac:dyDescent="0.2">
      <c r="B42" s="27" t="s">
        <v>55</v>
      </c>
      <c r="C42" s="26"/>
      <c r="D42" s="97">
        <v>220575.12217691843</v>
      </c>
      <c r="E42" s="92">
        <f t="shared" si="8"/>
        <v>6.1199323411799424</v>
      </c>
      <c r="F42" s="98">
        <f t="shared" si="9"/>
        <v>1349904.8238702402</v>
      </c>
      <c r="G42" s="26"/>
      <c r="H42" s="97">
        <v>195104.2721784586</v>
      </c>
      <c r="I42" s="92">
        <f t="shared" si="10"/>
        <v>0.78692596867039188</v>
      </c>
      <c r="J42" s="98">
        <f t="shared" si="11"/>
        <v>153532.61837576533</v>
      </c>
      <c r="K42" s="26"/>
      <c r="L42" s="97">
        <v>225107.57630560035</v>
      </c>
      <c r="M42" s="92">
        <f t="shared" si="12"/>
        <v>3.9900429829507966</v>
      </c>
      <c r="N42" s="98">
        <f t="shared" si="13"/>
        <v>898188.9052472217</v>
      </c>
      <c r="O42" s="26"/>
      <c r="P42" s="80">
        <f t="shared" si="7"/>
        <v>1051721.5236229871</v>
      </c>
      <c r="Q42" s="26"/>
    </row>
    <row r="43" spans="2:18" x14ac:dyDescent="0.2">
      <c r="B43" s="27" t="s">
        <v>56</v>
      </c>
      <c r="C43" s="26"/>
      <c r="D43" s="97">
        <v>257703.46951544404</v>
      </c>
      <c r="E43" s="92">
        <f t="shared" si="8"/>
        <v>6.1199323411799424</v>
      </c>
      <c r="F43" s="98">
        <f t="shared" si="9"/>
        <v>1577127.7975218454</v>
      </c>
      <c r="G43" s="26"/>
      <c r="H43" s="97">
        <v>214122.44449702578</v>
      </c>
      <c r="I43" s="92">
        <f t="shared" si="10"/>
        <v>0.78692596867039188</v>
      </c>
      <c r="J43" s="98">
        <f t="shared" si="11"/>
        <v>168498.51204989423</v>
      </c>
      <c r="K43" s="26"/>
      <c r="L43" s="97">
        <v>259924.97661275047</v>
      </c>
      <c r="M43" s="92">
        <f t="shared" si="12"/>
        <v>3.9900429829507966</v>
      </c>
      <c r="N43" s="98">
        <f t="shared" si="13"/>
        <v>1037111.829027355</v>
      </c>
      <c r="O43" s="26"/>
      <c r="P43" s="80">
        <f t="shared" si="7"/>
        <v>1205610.3410772493</v>
      </c>
      <c r="Q43" s="26"/>
    </row>
    <row r="44" spans="2:18" x14ac:dyDescent="0.2">
      <c r="B44" s="27" t="s">
        <v>57</v>
      </c>
      <c r="C44" s="26"/>
      <c r="D44" s="97">
        <v>333605.56121386605</v>
      </c>
      <c r="E44" s="92">
        <f t="shared" si="8"/>
        <v>6.1199323411799424</v>
      </c>
      <c r="F44" s="98">
        <f t="shared" si="9"/>
        <v>2041643.4632702239</v>
      </c>
      <c r="G44" s="26"/>
      <c r="H44" s="97">
        <v>290885.49757311866</v>
      </c>
      <c r="I44" s="92">
        <f t="shared" si="10"/>
        <v>0.78692596867039188</v>
      </c>
      <c r="J44" s="98">
        <f t="shared" si="11"/>
        <v>228905.35194989532</v>
      </c>
      <c r="K44" s="26"/>
      <c r="L44" s="97">
        <v>336785.50929146196</v>
      </c>
      <c r="M44" s="92">
        <f t="shared" si="12"/>
        <v>3.9900429829507966</v>
      </c>
      <c r="N44" s="98">
        <f t="shared" si="13"/>
        <v>1343788.6581079082</v>
      </c>
      <c r="O44" s="26"/>
      <c r="P44" s="80">
        <f t="shared" si="7"/>
        <v>1572694.0100578035</v>
      </c>
      <c r="Q44" s="26"/>
    </row>
    <row r="45" spans="2:18" x14ac:dyDescent="0.2">
      <c r="B45" s="27" t="s">
        <v>58</v>
      </c>
      <c r="C45" s="26"/>
      <c r="D45" s="97">
        <v>316778.62316658557</v>
      </c>
      <c r="E45" s="92">
        <f t="shared" si="8"/>
        <v>6.1199323411799424</v>
      </c>
      <c r="F45" s="98">
        <f t="shared" si="9"/>
        <v>1938663.7409116407</v>
      </c>
      <c r="G45" s="26"/>
      <c r="H45" s="97">
        <v>269083.93465528585</v>
      </c>
      <c r="I45" s="92">
        <f t="shared" si="10"/>
        <v>0.78692596867039188</v>
      </c>
      <c r="J45" s="98">
        <f t="shared" si="11"/>
        <v>211749.13593225126</v>
      </c>
      <c r="K45" s="26"/>
      <c r="L45" s="97">
        <v>317702.17044140107</v>
      </c>
      <c r="M45" s="92">
        <f t="shared" si="12"/>
        <v>3.9900429829507966</v>
      </c>
      <c r="N45" s="98">
        <f t="shared" si="13"/>
        <v>1267645.3158379504</v>
      </c>
      <c r="O45" s="26"/>
      <c r="P45" s="80">
        <f t="shared" si="7"/>
        <v>1479394.4517702018</v>
      </c>
      <c r="Q45" s="26"/>
    </row>
    <row r="46" spans="2:18" x14ac:dyDescent="0.2">
      <c r="B46" s="27" t="s">
        <v>59</v>
      </c>
      <c r="C46" s="26"/>
      <c r="D46" s="97">
        <v>346802.28563137108</v>
      </c>
      <c r="E46" s="92">
        <f t="shared" si="8"/>
        <v>6.1199323411799424</v>
      </c>
      <c r="F46" s="98">
        <f t="shared" si="9"/>
        <v>2122406.5238305521</v>
      </c>
      <c r="G46" s="26"/>
      <c r="H46" s="97">
        <v>262031.32565931082</v>
      </c>
      <c r="I46" s="92">
        <f t="shared" si="10"/>
        <v>0.78692596867039188</v>
      </c>
      <c r="J46" s="98">
        <f t="shared" si="11"/>
        <v>206199.25476644008</v>
      </c>
      <c r="K46" s="26"/>
      <c r="L46" s="97">
        <v>350631.0206240539</v>
      </c>
      <c r="M46" s="92">
        <f t="shared" si="12"/>
        <v>3.9900429829507966</v>
      </c>
      <c r="N46" s="98">
        <f t="shared" si="13"/>
        <v>1399032.8434458822</v>
      </c>
      <c r="O46" s="26"/>
      <c r="P46" s="80">
        <f t="shared" si="7"/>
        <v>1605232.0982123222</v>
      </c>
      <c r="Q46" s="26"/>
    </row>
    <row r="47" spans="2:18" x14ac:dyDescent="0.2">
      <c r="B47" s="27" t="s">
        <v>60</v>
      </c>
      <c r="C47" s="26"/>
      <c r="D47" s="97">
        <v>289207.87570743839</v>
      </c>
      <c r="E47" s="92">
        <f t="shared" si="8"/>
        <v>6.1199323411799424</v>
      </c>
      <c r="F47" s="98">
        <f t="shared" si="9"/>
        <v>1769932.6318659012</v>
      </c>
      <c r="G47" s="26"/>
      <c r="H47" s="97">
        <v>225489.56533104464</v>
      </c>
      <c r="I47" s="92">
        <f t="shared" si="10"/>
        <v>0.78692596867039188</v>
      </c>
      <c r="J47" s="98">
        <f t="shared" si="11"/>
        <v>177443.59462319792</v>
      </c>
      <c r="K47" s="26"/>
      <c r="L47" s="97">
        <v>290742.48190542328</v>
      </c>
      <c r="M47" s="92">
        <f t="shared" si="12"/>
        <v>3.9900429829507966</v>
      </c>
      <c r="N47" s="98">
        <f t="shared" si="13"/>
        <v>1160074.9997724332</v>
      </c>
      <c r="O47" s="26"/>
      <c r="P47" s="80">
        <f t="shared" si="7"/>
        <v>1337518.594395631</v>
      </c>
      <c r="Q47" s="26"/>
    </row>
    <row r="48" spans="2:18" x14ac:dyDescent="0.2">
      <c r="B48" s="27" t="s">
        <v>61</v>
      </c>
      <c r="C48" s="26"/>
      <c r="D48" s="97">
        <v>243522.76245460333</v>
      </c>
      <c r="E48" s="92">
        <f t="shared" si="8"/>
        <v>6.1199323411799424</v>
      </c>
      <c r="F48" s="98">
        <f t="shared" si="9"/>
        <v>1490342.8297594076</v>
      </c>
      <c r="G48" s="26"/>
      <c r="H48" s="97">
        <v>193339.93438163344</v>
      </c>
      <c r="I48" s="92">
        <f t="shared" si="10"/>
        <v>0.78692596867039188</v>
      </c>
      <c r="J48" s="98">
        <f t="shared" si="11"/>
        <v>152144.21514593691</v>
      </c>
      <c r="K48" s="26"/>
      <c r="L48" s="97">
        <v>246375.4772740365</v>
      </c>
      <c r="M48" s="92">
        <f t="shared" si="12"/>
        <v>3.9900429829507966</v>
      </c>
      <c r="N48" s="98">
        <f t="shared" si="13"/>
        <v>983048.74426842283</v>
      </c>
      <c r="O48" s="26"/>
      <c r="P48" s="80">
        <f t="shared" si="7"/>
        <v>1135192.9594143596</v>
      </c>
      <c r="Q48" s="26"/>
    </row>
    <row r="49" spans="2:17" x14ac:dyDescent="0.2">
      <c r="B49" s="27" t="s">
        <v>62</v>
      </c>
      <c r="C49" s="26"/>
      <c r="D49" s="97">
        <v>264746.78161075077</v>
      </c>
      <c r="E49" s="92">
        <f t="shared" si="8"/>
        <v>6.1199323411799424</v>
      </c>
      <c r="F49" s="98">
        <f t="shared" si="9"/>
        <v>1620232.391002937</v>
      </c>
      <c r="G49" s="26"/>
      <c r="H49" s="97">
        <v>214595.32919899264</v>
      </c>
      <c r="I49" s="92">
        <f t="shared" si="10"/>
        <v>0.78692596867039188</v>
      </c>
      <c r="J49" s="98">
        <f t="shared" si="11"/>
        <v>168870.63730205892</v>
      </c>
      <c r="K49" s="26"/>
      <c r="L49" s="97">
        <v>268683.42902696831</v>
      </c>
      <c r="M49" s="92">
        <f t="shared" si="12"/>
        <v>3.9900429829507966</v>
      </c>
      <c r="N49" s="98">
        <f t="shared" si="13"/>
        <v>1072058.4306242133</v>
      </c>
      <c r="O49" s="26"/>
      <c r="P49" s="80">
        <f t="shared" si="7"/>
        <v>1240929.0679262723</v>
      </c>
      <c r="Q49" s="26"/>
    </row>
    <row r="50" spans="2:17" x14ac:dyDescent="0.2">
      <c r="B50" s="27" t="s">
        <v>63</v>
      </c>
      <c r="C50" s="26"/>
      <c r="D50" s="97">
        <v>272546.29676884267</v>
      </c>
      <c r="E50" s="92">
        <f t="shared" si="8"/>
        <v>6.1199323411799424</v>
      </c>
      <c r="F50" s="98">
        <f t="shared" si="9"/>
        <v>1667964.8960644668</v>
      </c>
      <c r="G50" s="26"/>
      <c r="H50" s="97">
        <v>232941.37860981075</v>
      </c>
      <c r="I50" s="92">
        <f t="shared" si="10"/>
        <v>0.78692596867039188</v>
      </c>
      <c r="J50" s="98">
        <f t="shared" si="11"/>
        <v>183307.62000594183</v>
      </c>
      <c r="K50" s="26"/>
      <c r="L50" s="97">
        <v>279210.54235196376</v>
      </c>
      <c r="M50" s="92">
        <f t="shared" si="12"/>
        <v>3.9900429829507966</v>
      </c>
      <c r="N50" s="98">
        <f t="shared" si="13"/>
        <v>1114062.0652773392</v>
      </c>
      <c r="O50" s="26"/>
      <c r="P50" s="80">
        <f t="shared" si="7"/>
        <v>1297369.6852832809</v>
      </c>
      <c r="Q50" s="26"/>
    </row>
    <row r="51" spans="2:17" x14ac:dyDescent="0.2">
      <c r="B51" s="26"/>
      <c r="C51" s="26"/>
      <c r="D51" s="26"/>
      <c r="E51" s="26"/>
      <c r="F51" s="26"/>
      <c r="G51" s="26"/>
      <c r="H51" s="26"/>
      <c r="I51" s="26"/>
      <c r="J51" s="26"/>
      <c r="K51" s="26"/>
      <c r="L51" s="26"/>
      <c r="M51" s="26"/>
      <c r="N51" s="26"/>
      <c r="O51" s="26"/>
      <c r="P51" s="26"/>
      <c r="Q51" s="26"/>
    </row>
    <row r="52" spans="2:17" ht="13.5" thickBot="1" x14ac:dyDescent="0.25">
      <c r="B52" s="74" t="s">
        <v>3</v>
      </c>
      <c r="C52" s="26"/>
      <c r="D52" s="81">
        <f>SUM(D39:D50)</f>
        <v>3391795.5385171757</v>
      </c>
      <c r="E52" s="82">
        <f>IF(D52&lt;&gt;0,F52/D52,0)</f>
        <v>6.1199323411799433</v>
      </c>
      <c r="F52" s="83">
        <f>SUM(F39:F50)</f>
        <v>20757559.210841104</v>
      </c>
      <c r="G52" s="26"/>
      <c r="H52" s="81">
        <f>SUM(H39:H50)</f>
        <v>2830357.9459111039</v>
      </c>
      <c r="I52" s="82">
        <f>IF(H52&lt;&gt;0,J52/H52,0)</f>
        <v>0.78692596867039177</v>
      </c>
      <c r="J52" s="83">
        <f>SUM(J39:J50)</f>
        <v>2227282.1682700356</v>
      </c>
      <c r="K52" s="26"/>
      <c r="L52" s="81">
        <f>SUM(L39:L50)</f>
        <v>3443807.6503514266</v>
      </c>
      <c r="M52" s="82">
        <f>IF(L52&lt;&gt;0,N52/L52,0)</f>
        <v>3.9900429829507962</v>
      </c>
      <c r="N52" s="83">
        <f>SUM(N39:N50)</f>
        <v>13740940.549916979</v>
      </c>
      <c r="O52" s="26"/>
      <c r="P52" s="83">
        <f>SUM(P39:P50)</f>
        <v>15968222.718187016</v>
      </c>
      <c r="Q52" s="26"/>
    </row>
    <row r="53" spans="2:17" x14ac:dyDescent="0.2">
      <c r="B53" s="26"/>
      <c r="C53" s="26"/>
      <c r="D53" s="26"/>
      <c r="E53" s="26"/>
      <c r="F53" s="26"/>
      <c r="G53" s="26"/>
      <c r="H53" s="26"/>
      <c r="I53" s="26"/>
      <c r="J53" s="26"/>
      <c r="K53" s="26"/>
      <c r="L53" s="26"/>
      <c r="M53" s="26"/>
      <c r="N53" s="26"/>
      <c r="O53" s="26"/>
      <c r="P53" s="26"/>
      <c r="Q53" s="26"/>
    </row>
    <row r="54" spans="2:17" x14ac:dyDescent="0.2">
      <c r="B54" s="71" t="e">
        <f>#REF!</f>
        <v>#REF!</v>
      </c>
      <c r="C54" s="72"/>
      <c r="D54" s="240" t="s">
        <v>0</v>
      </c>
      <c r="E54" s="240"/>
      <c r="F54" s="240"/>
      <c r="G54" s="72"/>
      <c r="H54" s="240" t="s">
        <v>1</v>
      </c>
      <c r="I54" s="240"/>
      <c r="J54" s="240"/>
      <c r="K54" s="72"/>
      <c r="L54" s="240" t="s">
        <v>2</v>
      </c>
      <c r="M54" s="240"/>
      <c r="N54" s="240"/>
      <c r="O54" s="72"/>
      <c r="P54" s="71" t="s">
        <v>48</v>
      </c>
      <c r="Q54" s="26"/>
    </row>
    <row r="55" spans="2:17" x14ac:dyDescent="0.2">
      <c r="B55" s="74"/>
      <c r="C55" s="26"/>
      <c r="D55" s="90"/>
      <c r="E55" s="90"/>
      <c r="F55" s="90"/>
      <c r="G55" s="26"/>
      <c r="H55" s="90"/>
      <c r="I55" s="90"/>
      <c r="J55" s="90"/>
      <c r="K55" s="26"/>
      <c r="L55" s="90"/>
      <c r="M55" s="90"/>
      <c r="N55" s="90"/>
      <c r="O55" s="26"/>
      <c r="P55" s="90"/>
      <c r="Q55" s="26"/>
    </row>
    <row r="56" spans="2:17" x14ac:dyDescent="0.2">
      <c r="B56" s="74" t="s">
        <v>49</v>
      </c>
      <c r="C56" s="26"/>
      <c r="D56" s="90" t="s">
        <v>50</v>
      </c>
      <c r="E56" s="90" t="s">
        <v>9</v>
      </c>
      <c r="F56" s="90" t="s">
        <v>51</v>
      </c>
      <c r="G56" s="26"/>
      <c r="H56" s="90" t="s">
        <v>50</v>
      </c>
      <c r="I56" s="90" t="s">
        <v>9</v>
      </c>
      <c r="J56" s="90" t="s">
        <v>51</v>
      </c>
      <c r="K56" s="26"/>
      <c r="L56" s="90" t="s">
        <v>50</v>
      </c>
      <c r="M56" s="90" t="s">
        <v>9</v>
      </c>
      <c r="N56" s="90" t="s">
        <v>51</v>
      </c>
      <c r="O56" s="26"/>
      <c r="P56" s="90" t="s">
        <v>51</v>
      </c>
      <c r="Q56" s="26"/>
    </row>
    <row r="57" spans="2:17" x14ac:dyDescent="0.2">
      <c r="B57" s="26"/>
      <c r="C57" s="26"/>
      <c r="D57" s="26"/>
      <c r="E57" s="26"/>
      <c r="F57" s="26"/>
      <c r="G57" s="26"/>
      <c r="H57" s="26"/>
      <c r="I57" s="26"/>
      <c r="J57" s="26"/>
      <c r="K57" s="26"/>
      <c r="L57" s="26"/>
      <c r="M57" s="26"/>
      <c r="N57" s="26"/>
      <c r="O57" s="26"/>
      <c r="P57" s="26"/>
      <c r="Q57" s="26"/>
    </row>
    <row r="58" spans="2:17" x14ac:dyDescent="0.2">
      <c r="B58" s="27" t="s">
        <v>52</v>
      </c>
      <c r="C58" s="26"/>
      <c r="D58" s="97"/>
      <c r="E58" s="92"/>
      <c r="F58" s="98"/>
      <c r="G58" s="26"/>
      <c r="H58" s="97"/>
      <c r="I58" s="92"/>
      <c r="J58" s="98"/>
      <c r="K58" s="26"/>
      <c r="L58" s="97"/>
      <c r="M58" s="92"/>
      <c r="N58" s="98"/>
      <c r="O58" s="26"/>
      <c r="P58" s="80"/>
      <c r="Q58" s="26"/>
    </row>
    <row r="59" spans="2:17" x14ac:dyDescent="0.2">
      <c r="B59" s="27" t="s">
        <v>53</v>
      </c>
      <c r="C59" s="26"/>
      <c r="D59" s="97"/>
      <c r="E59" s="92"/>
      <c r="F59" s="98"/>
      <c r="G59" s="26"/>
      <c r="H59" s="97"/>
      <c r="I59" s="92"/>
      <c r="J59" s="98"/>
      <c r="K59" s="26"/>
      <c r="L59" s="97"/>
      <c r="M59" s="92"/>
      <c r="N59" s="98"/>
      <c r="O59" s="26"/>
      <c r="P59" s="80"/>
      <c r="Q59" s="26"/>
    </row>
    <row r="60" spans="2:17" x14ac:dyDescent="0.2">
      <c r="B60" s="27" t="s">
        <v>54</v>
      </c>
      <c r="C60" s="26"/>
      <c r="D60" s="97"/>
      <c r="E60" s="92"/>
      <c r="F60" s="98"/>
      <c r="G60" s="26"/>
      <c r="H60" s="97"/>
      <c r="I60" s="92"/>
      <c r="J60" s="98"/>
      <c r="K60" s="26"/>
      <c r="L60" s="97"/>
      <c r="M60" s="92"/>
      <c r="N60" s="98"/>
      <c r="O60" s="26"/>
      <c r="P60" s="80"/>
      <c r="Q60" s="26"/>
    </row>
    <row r="61" spans="2:17" x14ac:dyDescent="0.2">
      <c r="B61" s="27" t="s">
        <v>55</v>
      </c>
      <c r="C61" s="26"/>
      <c r="D61" s="97"/>
      <c r="E61" s="92"/>
      <c r="F61" s="98"/>
      <c r="G61" s="26"/>
      <c r="H61" s="97"/>
      <c r="I61" s="92"/>
      <c r="J61" s="98"/>
      <c r="K61" s="26"/>
      <c r="L61" s="97"/>
      <c r="M61" s="92"/>
      <c r="N61" s="98"/>
      <c r="O61" s="26"/>
      <c r="P61" s="80"/>
      <c r="Q61" s="26"/>
    </row>
    <row r="62" spans="2:17" x14ac:dyDescent="0.2">
      <c r="B62" s="27" t="s">
        <v>56</v>
      </c>
      <c r="C62" s="26"/>
      <c r="D62" s="97"/>
      <c r="E62" s="92"/>
      <c r="F62" s="98"/>
      <c r="G62" s="26"/>
      <c r="H62" s="97"/>
      <c r="I62" s="92"/>
      <c r="J62" s="98"/>
      <c r="K62" s="26"/>
      <c r="L62" s="97"/>
      <c r="M62" s="92"/>
      <c r="N62" s="98"/>
      <c r="O62" s="26"/>
      <c r="P62" s="80"/>
      <c r="Q62" s="26"/>
    </row>
    <row r="63" spans="2:17" x14ac:dyDescent="0.2">
      <c r="B63" s="27" t="s">
        <v>57</v>
      </c>
      <c r="C63" s="26"/>
      <c r="D63" s="97"/>
      <c r="E63" s="92"/>
      <c r="F63" s="98"/>
      <c r="G63" s="26"/>
      <c r="H63" s="97"/>
      <c r="I63" s="92"/>
      <c r="J63" s="98"/>
      <c r="K63" s="26"/>
      <c r="L63" s="97"/>
      <c r="M63" s="92"/>
      <c r="N63" s="98"/>
      <c r="O63" s="26"/>
      <c r="P63" s="80"/>
      <c r="Q63" s="26"/>
    </row>
    <row r="64" spans="2:17" x14ac:dyDescent="0.2">
      <c r="B64" s="27" t="s">
        <v>58</v>
      </c>
      <c r="C64" s="26"/>
      <c r="D64" s="97"/>
      <c r="E64" s="92"/>
      <c r="F64" s="98"/>
      <c r="G64" s="26"/>
      <c r="H64" s="97"/>
      <c r="I64" s="92"/>
      <c r="J64" s="98"/>
      <c r="K64" s="26"/>
      <c r="L64" s="97"/>
      <c r="M64" s="92"/>
      <c r="N64" s="98"/>
      <c r="O64" s="26"/>
      <c r="P64" s="80"/>
      <c r="Q64" s="26"/>
    </row>
    <row r="65" spans="2:17" x14ac:dyDescent="0.2">
      <c r="B65" s="27" t="s">
        <v>59</v>
      </c>
      <c r="C65" s="26"/>
      <c r="D65" s="97"/>
      <c r="E65" s="92"/>
      <c r="F65" s="98"/>
      <c r="G65" s="26"/>
      <c r="H65" s="97"/>
      <c r="I65" s="92"/>
      <c r="J65" s="98"/>
      <c r="K65" s="26"/>
      <c r="L65" s="97"/>
      <c r="M65" s="92"/>
      <c r="N65" s="98"/>
      <c r="O65" s="26"/>
      <c r="P65" s="80"/>
      <c r="Q65" s="26"/>
    </row>
    <row r="66" spans="2:17" x14ac:dyDescent="0.2">
      <c r="B66" s="27" t="s">
        <v>60</v>
      </c>
      <c r="C66" s="26"/>
      <c r="D66" s="97"/>
      <c r="E66" s="92"/>
      <c r="F66" s="98"/>
      <c r="G66" s="26"/>
      <c r="H66" s="97"/>
      <c r="I66" s="92"/>
      <c r="J66" s="98"/>
      <c r="K66" s="26"/>
      <c r="L66" s="97"/>
      <c r="M66" s="92"/>
      <c r="N66" s="98"/>
      <c r="O66" s="26"/>
      <c r="P66" s="80"/>
      <c r="Q66" s="26"/>
    </row>
    <row r="67" spans="2:17" x14ac:dyDescent="0.2">
      <c r="B67" s="27" t="s">
        <v>61</v>
      </c>
      <c r="C67" s="26"/>
      <c r="D67" s="97"/>
      <c r="E67" s="92"/>
      <c r="F67" s="98"/>
      <c r="G67" s="26"/>
      <c r="H67" s="97"/>
      <c r="I67" s="92"/>
      <c r="J67" s="98"/>
      <c r="K67" s="26"/>
      <c r="L67" s="97"/>
      <c r="M67" s="92"/>
      <c r="N67" s="98"/>
      <c r="O67" s="26"/>
      <c r="P67" s="80"/>
      <c r="Q67" s="26"/>
    </row>
    <row r="68" spans="2:17" x14ac:dyDescent="0.2">
      <c r="B68" s="27" t="s">
        <v>62</v>
      </c>
      <c r="C68" s="26"/>
      <c r="D68" s="97"/>
      <c r="E68" s="92"/>
      <c r="F68" s="98"/>
      <c r="G68" s="26"/>
      <c r="H68" s="97"/>
      <c r="I68" s="92"/>
      <c r="J68" s="98"/>
      <c r="K68" s="26"/>
      <c r="L68" s="97"/>
      <c r="M68" s="92"/>
      <c r="N68" s="98"/>
      <c r="O68" s="26"/>
      <c r="P68" s="80"/>
      <c r="Q68" s="26"/>
    </row>
    <row r="69" spans="2:17" x14ac:dyDescent="0.2">
      <c r="B69" s="27" t="s">
        <v>63</v>
      </c>
      <c r="C69" s="26"/>
      <c r="D69" s="97"/>
      <c r="E69" s="92"/>
      <c r="F69" s="98"/>
      <c r="G69" s="26"/>
      <c r="H69" s="97"/>
      <c r="I69" s="92"/>
      <c r="J69" s="98"/>
      <c r="K69" s="26"/>
      <c r="L69" s="97"/>
      <c r="M69" s="92"/>
      <c r="N69" s="98"/>
      <c r="O69" s="26"/>
      <c r="P69" s="80"/>
      <c r="Q69" s="26"/>
    </row>
    <row r="70" spans="2:17" x14ac:dyDescent="0.2">
      <c r="B70" s="26"/>
      <c r="C70" s="26"/>
      <c r="D70" s="26"/>
      <c r="E70" s="26"/>
      <c r="F70" s="26"/>
      <c r="G70" s="26"/>
      <c r="H70" s="26"/>
      <c r="I70" s="26"/>
      <c r="J70" s="26"/>
      <c r="K70" s="26"/>
      <c r="L70" s="26"/>
      <c r="M70" s="26"/>
      <c r="N70" s="26"/>
      <c r="O70" s="26"/>
      <c r="P70" s="26"/>
      <c r="Q70" s="26"/>
    </row>
    <row r="71" spans="2:17" ht="13.5" thickBot="1" x14ac:dyDescent="0.25">
      <c r="B71" s="74" t="s">
        <v>3</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x14ac:dyDescent="0.2">
      <c r="B72" s="26"/>
      <c r="C72" s="26"/>
      <c r="D72" s="26"/>
      <c r="E72" s="26"/>
      <c r="F72" s="26"/>
      <c r="G72" s="26"/>
      <c r="H72" s="26"/>
      <c r="I72" s="26"/>
      <c r="J72" s="26"/>
      <c r="K72" s="26"/>
      <c r="L72" s="26"/>
      <c r="M72" s="26"/>
      <c r="N72" s="26"/>
      <c r="O72" s="26"/>
      <c r="P72" s="26"/>
      <c r="Q72" s="26"/>
    </row>
    <row r="73" spans="2:17" x14ac:dyDescent="0.2">
      <c r="B73" s="71" t="e">
        <f>#REF!</f>
        <v>#REF!</v>
      </c>
      <c r="C73" s="72"/>
      <c r="D73" s="240" t="s">
        <v>0</v>
      </c>
      <c r="E73" s="240"/>
      <c r="F73" s="240"/>
      <c r="G73" s="72"/>
      <c r="H73" s="240" t="s">
        <v>1</v>
      </c>
      <c r="I73" s="240"/>
      <c r="J73" s="240"/>
      <c r="K73" s="72"/>
      <c r="L73" s="240" t="s">
        <v>2</v>
      </c>
      <c r="M73" s="240"/>
      <c r="N73" s="240"/>
      <c r="O73" s="72"/>
      <c r="P73" s="71" t="s">
        <v>48</v>
      </c>
      <c r="Q73" s="26"/>
    </row>
    <row r="74" spans="2:17" x14ac:dyDescent="0.2">
      <c r="B74" s="74"/>
      <c r="C74" s="26"/>
      <c r="D74" s="90"/>
      <c r="E74" s="90"/>
      <c r="F74" s="90"/>
      <c r="G74" s="26"/>
      <c r="H74" s="90"/>
      <c r="I74" s="90"/>
      <c r="J74" s="90"/>
      <c r="K74" s="26"/>
      <c r="L74" s="90"/>
      <c r="M74" s="90"/>
      <c r="N74" s="90"/>
      <c r="O74" s="26"/>
      <c r="P74" s="90"/>
      <c r="Q74" s="26"/>
    </row>
    <row r="75" spans="2:17" x14ac:dyDescent="0.2">
      <c r="B75" s="74" t="s">
        <v>49</v>
      </c>
      <c r="C75" s="26"/>
      <c r="D75" s="90" t="s">
        <v>50</v>
      </c>
      <c r="E75" s="90" t="s">
        <v>9</v>
      </c>
      <c r="F75" s="90" t="s">
        <v>51</v>
      </c>
      <c r="G75" s="26"/>
      <c r="H75" s="90" t="s">
        <v>50</v>
      </c>
      <c r="I75" s="90" t="s">
        <v>9</v>
      </c>
      <c r="J75" s="90" t="s">
        <v>51</v>
      </c>
      <c r="K75" s="26"/>
      <c r="L75" s="90" t="s">
        <v>50</v>
      </c>
      <c r="M75" s="90" t="s">
        <v>9</v>
      </c>
      <c r="N75" s="90" t="s">
        <v>51</v>
      </c>
      <c r="O75" s="26"/>
      <c r="P75" s="90" t="s">
        <v>51</v>
      </c>
      <c r="Q75" s="26"/>
    </row>
    <row r="76" spans="2:17" x14ac:dyDescent="0.2">
      <c r="B76" s="26"/>
      <c r="C76" s="26"/>
      <c r="D76" s="26"/>
      <c r="E76" s="26"/>
      <c r="F76" s="26"/>
      <c r="G76" s="26"/>
      <c r="H76" s="26"/>
      <c r="I76" s="26"/>
      <c r="J76" s="26"/>
      <c r="K76" s="26"/>
      <c r="L76" s="26"/>
      <c r="M76" s="26"/>
      <c r="N76" s="26"/>
      <c r="O76" s="26"/>
      <c r="P76" s="26"/>
      <c r="Q76" s="26"/>
    </row>
    <row r="77" spans="2:17" x14ac:dyDescent="0.2">
      <c r="B77" s="27" t="s">
        <v>52</v>
      </c>
      <c r="C77" s="26"/>
      <c r="D77" s="97"/>
      <c r="E77" s="92"/>
      <c r="F77" s="98"/>
      <c r="G77" s="26"/>
      <c r="H77" s="97"/>
      <c r="I77" s="92"/>
      <c r="J77" s="98"/>
      <c r="K77" s="26"/>
      <c r="L77" s="97"/>
      <c r="M77" s="92"/>
      <c r="N77" s="98"/>
      <c r="O77" s="26"/>
      <c r="P77" s="80"/>
      <c r="Q77" s="26"/>
    </row>
    <row r="78" spans="2:17" x14ac:dyDescent="0.2">
      <c r="B78" s="27" t="s">
        <v>53</v>
      </c>
      <c r="C78" s="26"/>
      <c r="D78" s="97"/>
      <c r="E78" s="92"/>
      <c r="F78" s="98"/>
      <c r="G78" s="26"/>
      <c r="H78" s="97"/>
      <c r="I78" s="92"/>
      <c r="J78" s="98"/>
      <c r="K78" s="26"/>
      <c r="L78" s="97"/>
      <c r="M78" s="92"/>
      <c r="N78" s="98"/>
      <c r="O78" s="26"/>
      <c r="P78" s="80"/>
      <c r="Q78" s="26"/>
    </row>
    <row r="79" spans="2:17" x14ac:dyDescent="0.2">
      <c r="B79" s="27" t="s">
        <v>54</v>
      </c>
      <c r="C79" s="26"/>
      <c r="D79" s="97"/>
      <c r="E79" s="92"/>
      <c r="F79" s="98"/>
      <c r="G79" s="26"/>
      <c r="H79" s="97"/>
      <c r="I79" s="92"/>
      <c r="J79" s="98"/>
      <c r="K79" s="26"/>
      <c r="L79" s="97"/>
      <c r="M79" s="92"/>
      <c r="N79" s="98"/>
      <c r="O79" s="26"/>
      <c r="P79" s="80"/>
      <c r="Q79" s="26"/>
    </row>
    <row r="80" spans="2:17" x14ac:dyDescent="0.2">
      <c r="B80" s="27" t="s">
        <v>55</v>
      </c>
      <c r="C80" s="26"/>
      <c r="D80" s="97"/>
      <c r="E80" s="92"/>
      <c r="F80" s="98"/>
      <c r="G80" s="26"/>
      <c r="H80" s="97"/>
      <c r="I80" s="92"/>
      <c r="J80" s="98"/>
      <c r="K80" s="26"/>
      <c r="L80" s="97"/>
      <c r="M80" s="92"/>
      <c r="N80" s="98"/>
      <c r="O80" s="26"/>
      <c r="P80" s="80"/>
      <c r="Q80" s="26"/>
    </row>
    <row r="81" spans="2:17" x14ac:dyDescent="0.2">
      <c r="B81" s="27" t="s">
        <v>56</v>
      </c>
      <c r="C81" s="26"/>
      <c r="D81" s="97"/>
      <c r="E81" s="92"/>
      <c r="F81" s="98"/>
      <c r="G81" s="26"/>
      <c r="H81" s="97"/>
      <c r="I81" s="92"/>
      <c r="J81" s="98"/>
      <c r="K81" s="26"/>
      <c r="L81" s="97"/>
      <c r="M81" s="92"/>
      <c r="N81" s="98"/>
      <c r="O81" s="26"/>
      <c r="P81" s="80"/>
      <c r="Q81" s="26"/>
    </row>
    <row r="82" spans="2:17" x14ac:dyDescent="0.2">
      <c r="B82" s="27" t="s">
        <v>57</v>
      </c>
      <c r="C82" s="26"/>
      <c r="D82" s="97"/>
      <c r="E82" s="92"/>
      <c r="F82" s="98"/>
      <c r="G82" s="26"/>
      <c r="H82" s="97"/>
      <c r="I82" s="92"/>
      <c r="J82" s="98"/>
      <c r="K82" s="26"/>
      <c r="L82" s="97"/>
      <c r="M82" s="92"/>
      <c r="N82" s="98"/>
      <c r="O82" s="26"/>
      <c r="P82" s="80"/>
      <c r="Q82" s="26"/>
    </row>
    <row r="83" spans="2:17" x14ac:dyDescent="0.2">
      <c r="B83" s="27" t="s">
        <v>58</v>
      </c>
      <c r="C83" s="26"/>
      <c r="D83" s="97"/>
      <c r="E83" s="92"/>
      <c r="F83" s="98"/>
      <c r="G83" s="26"/>
      <c r="H83" s="97"/>
      <c r="I83" s="92"/>
      <c r="J83" s="98"/>
      <c r="K83" s="26"/>
      <c r="L83" s="97"/>
      <c r="M83" s="92"/>
      <c r="N83" s="98"/>
      <c r="O83" s="26"/>
      <c r="P83" s="80"/>
      <c r="Q83" s="26"/>
    </row>
    <row r="84" spans="2:17" x14ac:dyDescent="0.2">
      <c r="B84" s="27" t="s">
        <v>59</v>
      </c>
      <c r="C84" s="26"/>
      <c r="D84" s="97"/>
      <c r="E84" s="92"/>
      <c r="F84" s="98"/>
      <c r="G84" s="26"/>
      <c r="H84" s="97"/>
      <c r="I84" s="92"/>
      <c r="J84" s="98"/>
      <c r="K84" s="26"/>
      <c r="L84" s="97"/>
      <c r="M84" s="92"/>
      <c r="N84" s="98"/>
      <c r="O84" s="26"/>
      <c r="P84" s="80"/>
      <c r="Q84" s="26"/>
    </row>
    <row r="85" spans="2:17" x14ac:dyDescent="0.2">
      <c r="B85" s="27" t="s">
        <v>60</v>
      </c>
      <c r="C85" s="26"/>
      <c r="D85" s="97"/>
      <c r="E85" s="92"/>
      <c r="F85" s="98"/>
      <c r="G85" s="26"/>
      <c r="H85" s="97"/>
      <c r="I85" s="92"/>
      <c r="J85" s="98"/>
      <c r="K85" s="26"/>
      <c r="L85" s="97"/>
      <c r="M85" s="92"/>
      <c r="N85" s="98"/>
      <c r="O85" s="26"/>
      <c r="P85" s="80"/>
      <c r="Q85" s="26"/>
    </row>
    <row r="86" spans="2:17" x14ac:dyDescent="0.2">
      <c r="B86" s="27" t="s">
        <v>61</v>
      </c>
      <c r="C86" s="26"/>
      <c r="D86" s="97"/>
      <c r="E86" s="92"/>
      <c r="F86" s="98"/>
      <c r="G86" s="26"/>
      <c r="H86" s="97"/>
      <c r="I86" s="92"/>
      <c r="J86" s="98"/>
      <c r="K86" s="26"/>
      <c r="L86" s="97"/>
      <c r="M86" s="92"/>
      <c r="N86" s="98"/>
      <c r="O86" s="26"/>
      <c r="P86" s="80"/>
      <c r="Q86" s="26"/>
    </row>
    <row r="87" spans="2:17" x14ac:dyDescent="0.2">
      <c r="B87" s="27" t="s">
        <v>62</v>
      </c>
      <c r="C87" s="26"/>
      <c r="D87" s="97"/>
      <c r="E87" s="92"/>
      <c r="F87" s="98"/>
      <c r="G87" s="26"/>
      <c r="H87" s="97"/>
      <c r="I87" s="92"/>
      <c r="J87" s="98"/>
      <c r="K87" s="26"/>
      <c r="L87" s="97"/>
      <c r="M87" s="92"/>
      <c r="N87" s="98"/>
      <c r="O87" s="26"/>
      <c r="P87" s="80"/>
      <c r="Q87" s="26"/>
    </row>
    <row r="88" spans="2:17" x14ac:dyDescent="0.2">
      <c r="B88" s="27" t="s">
        <v>63</v>
      </c>
      <c r="C88" s="26"/>
      <c r="D88" s="97"/>
      <c r="E88" s="92"/>
      <c r="F88" s="98"/>
      <c r="G88" s="26"/>
      <c r="H88" s="97"/>
      <c r="I88" s="92"/>
      <c r="J88" s="98"/>
      <c r="K88" s="26"/>
      <c r="L88" s="97"/>
      <c r="M88" s="92"/>
      <c r="N88" s="98"/>
      <c r="O88" s="26"/>
      <c r="P88" s="80"/>
      <c r="Q88" s="26"/>
    </row>
    <row r="89" spans="2:17" x14ac:dyDescent="0.2">
      <c r="B89" s="26"/>
      <c r="C89" s="26"/>
      <c r="D89" s="26"/>
      <c r="E89" s="26"/>
      <c r="F89" s="26"/>
      <c r="G89" s="26"/>
      <c r="H89" s="26"/>
      <c r="I89" s="26"/>
      <c r="J89" s="26"/>
      <c r="K89" s="26"/>
      <c r="L89" s="26"/>
      <c r="M89" s="26"/>
      <c r="N89" s="26"/>
      <c r="O89" s="26"/>
      <c r="P89" s="26"/>
      <c r="Q89" s="26"/>
    </row>
    <row r="90" spans="2:17" ht="13.5" thickBot="1" x14ac:dyDescent="0.25">
      <c r="B90" s="74" t="s">
        <v>3</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x14ac:dyDescent="0.2">
      <c r="B91" s="26"/>
      <c r="C91" s="26"/>
      <c r="D91" s="26"/>
      <c r="E91" s="26"/>
      <c r="F91" s="26"/>
      <c r="G91" s="26"/>
      <c r="H91" s="26"/>
      <c r="I91" s="26"/>
      <c r="J91" s="26"/>
      <c r="K91" s="26"/>
      <c r="L91" s="26"/>
      <c r="M91" s="26"/>
      <c r="N91" s="26"/>
      <c r="O91" s="26"/>
      <c r="P91" s="26"/>
      <c r="Q91" s="26"/>
    </row>
    <row r="92" spans="2:17" x14ac:dyDescent="0.2">
      <c r="B92" s="71" t="s">
        <v>3</v>
      </c>
      <c r="C92" s="72"/>
      <c r="D92" s="240" t="s">
        <v>0</v>
      </c>
      <c r="E92" s="240"/>
      <c r="F92" s="240"/>
      <c r="G92" s="72"/>
      <c r="H92" s="240" t="s">
        <v>1</v>
      </c>
      <c r="I92" s="240"/>
      <c r="J92" s="240"/>
      <c r="K92" s="72"/>
      <c r="L92" s="240" t="s">
        <v>2</v>
      </c>
      <c r="M92" s="240"/>
      <c r="N92" s="240"/>
      <c r="O92" s="72"/>
      <c r="P92" s="71" t="s">
        <v>48</v>
      </c>
      <c r="Q92" s="26"/>
    </row>
    <row r="93" spans="2:17" x14ac:dyDescent="0.2">
      <c r="B93" s="26"/>
      <c r="C93" s="26"/>
      <c r="D93" s="241"/>
      <c r="E93" s="241"/>
      <c r="F93" s="241"/>
      <c r="G93" s="26"/>
      <c r="H93" s="241"/>
      <c r="I93" s="241"/>
      <c r="J93" s="241"/>
      <c r="K93" s="26"/>
      <c r="L93" s="241"/>
      <c r="M93" s="241"/>
      <c r="N93" s="241"/>
      <c r="O93" s="26"/>
      <c r="P93" s="90"/>
      <c r="Q93" s="26"/>
    </row>
    <row r="94" spans="2:17" x14ac:dyDescent="0.2">
      <c r="B94" s="74" t="s">
        <v>49</v>
      </c>
      <c r="C94" s="26"/>
      <c r="D94" s="90" t="s">
        <v>50</v>
      </c>
      <c r="E94" s="90" t="s">
        <v>9</v>
      </c>
      <c r="F94" s="90" t="s">
        <v>51</v>
      </c>
      <c r="G94" s="26"/>
      <c r="H94" s="90" t="s">
        <v>50</v>
      </c>
      <c r="I94" s="90" t="s">
        <v>9</v>
      </c>
      <c r="J94" s="90" t="s">
        <v>51</v>
      </c>
      <c r="K94" s="26"/>
      <c r="L94" s="90" t="s">
        <v>50</v>
      </c>
      <c r="M94" s="90" t="s">
        <v>9</v>
      </c>
      <c r="N94" s="90" t="s">
        <v>51</v>
      </c>
      <c r="O94" s="26"/>
      <c r="P94" s="90" t="s">
        <v>51</v>
      </c>
      <c r="Q94" s="26"/>
    </row>
    <row r="95" spans="2:17" x14ac:dyDescent="0.2">
      <c r="B95" s="26"/>
      <c r="C95" s="26"/>
      <c r="D95" s="26"/>
      <c r="E95" s="26"/>
      <c r="F95" s="26"/>
      <c r="G95" s="26"/>
      <c r="H95" s="26"/>
      <c r="I95" s="26"/>
      <c r="J95" s="26"/>
      <c r="K95" s="26"/>
      <c r="L95" s="26"/>
      <c r="M95" s="26"/>
      <c r="N95" s="26"/>
      <c r="O95" s="26"/>
      <c r="P95" s="26"/>
      <c r="Q95" s="26"/>
    </row>
    <row r="96" spans="2:17" x14ac:dyDescent="0.2">
      <c r="B96" s="27" t="s">
        <v>52</v>
      </c>
      <c r="C96" s="26"/>
      <c r="D96" s="91">
        <f>D20+D39+D58+D77</f>
        <v>637905.46081468172</v>
      </c>
      <c r="E96" s="92">
        <f t="shared" ref="E96:E107" si="14">IF(D96&lt;&gt;0,F96/D96,0)</f>
        <v>6.6682197338146931</v>
      </c>
      <c r="F96" s="80">
        <f>F20+F39+F58+F77</f>
        <v>4253693.7821126161</v>
      </c>
      <c r="G96" s="26"/>
      <c r="H96" s="91">
        <f>H20+H39+H58+H77</f>
        <v>446726.59816183441</v>
      </c>
      <c r="I96" s="92">
        <f t="shared" ref="I96:I107" si="15">IF(H96&lt;&gt;0,J96/H96,0)</f>
        <v>0.92959406285383983</v>
      </c>
      <c r="J96" s="80">
        <f>J20+J39+J58+J77</f>
        <v>415274.39337013435</v>
      </c>
      <c r="K96" s="26"/>
      <c r="L96" s="91">
        <f>L20+L39+L58+L77</f>
        <v>676287.54428450007</v>
      </c>
      <c r="M96" s="92">
        <f t="shared" ref="M96:M107" si="16">IF(L96&lt;&gt;0,N96/L96,0)</f>
        <v>3.9264318517456096</v>
      </c>
      <c r="N96" s="80">
        <f>N20+N39+N58+N77</f>
        <v>2655396.9548174804</v>
      </c>
      <c r="O96" s="26"/>
      <c r="P96" s="80">
        <f t="shared" ref="P96:P107" si="17">J96+N96</f>
        <v>3070671.3481876147</v>
      </c>
      <c r="Q96" s="26"/>
    </row>
    <row r="97" spans="2:17" x14ac:dyDescent="0.2">
      <c r="B97" s="27" t="s">
        <v>53</v>
      </c>
      <c r="C97" s="26"/>
      <c r="D97" s="91">
        <f t="shared" ref="D97:D107" si="18">D21+D40+D59+D78</f>
        <v>631631.51963435241</v>
      </c>
      <c r="E97" s="92">
        <f t="shared" si="14"/>
        <v>6.663256301943254</v>
      </c>
      <c r="F97" s="80">
        <f t="shared" ref="F97:F107" si="19">F21+F40+F59+F78</f>
        <v>4208722.703709593</v>
      </c>
      <c r="G97" s="26"/>
      <c r="H97" s="91">
        <f t="shared" ref="H97:H107" si="20">H21+H40+H59+H78</f>
        <v>433111.21544875181</v>
      </c>
      <c r="I97" s="92">
        <f t="shared" si="15"/>
        <v>0.94147852298796464</v>
      </c>
      <c r="J97" s="80">
        <f t="shared" ref="J97:J107" si="21">J21+J40+J59+J78</f>
        <v>407764.90741021297</v>
      </c>
      <c r="K97" s="26"/>
      <c r="L97" s="91">
        <f t="shared" ref="L97:L107" si="22">L21+L40+L59+L78</f>
        <v>654104.46656035562</v>
      </c>
      <c r="M97" s="92">
        <f t="shared" si="16"/>
        <v>3.9256917655713037</v>
      </c>
      <c r="N97" s="80">
        <f t="shared" ref="N97:N107" si="23">N21+N40+N59+N78</f>
        <v>2567812.5181993982</v>
      </c>
      <c r="O97" s="26"/>
      <c r="P97" s="80">
        <f t="shared" si="17"/>
        <v>2975577.425609611</v>
      </c>
      <c r="Q97" s="26"/>
    </row>
    <row r="98" spans="2:17" x14ac:dyDescent="0.2">
      <c r="B98" s="27" t="s">
        <v>54</v>
      </c>
      <c r="C98" s="26"/>
      <c r="D98" s="91">
        <f t="shared" si="18"/>
        <v>578965.74635346665</v>
      </c>
      <c r="E98" s="92">
        <f t="shared" si="14"/>
        <v>6.7030216583915685</v>
      </c>
      <c r="F98" s="80">
        <f t="shared" si="19"/>
        <v>3880819.9372741263</v>
      </c>
      <c r="G98" s="26"/>
      <c r="H98" s="91">
        <f t="shared" si="20"/>
        <v>390549.78362201806</v>
      </c>
      <c r="I98" s="92">
        <f t="shared" si="15"/>
        <v>0.95082206686546356</v>
      </c>
      <c r="J98" s="80">
        <f t="shared" si="21"/>
        <v>371343.35247734678</v>
      </c>
      <c r="K98" s="26"/>
      <c r="L98" s="91">
        <f t="shared" si="22"/>
        <v>592910.292286298</v>
      </c>
      <c r="M98" s="92">
        <f t="shared" si="16"/>
        <v>3.9224399955837663</v>
      </c>
      <c r="N98" s="80">
        <f t="shared" si="23"/>
        <v>2325655.0442570364</v>
      </c>
      <c r="O98" s="26"/>
      <c r="P98" s="80">
        <f t="shared" si="17"/>
        <v>2696998.396734383</v>
      </c>
      <c r="Q98" s="26"/>
    </row>
    <row r="99" spans="2:17" x14ac:dyDescent="0.2">
      <c r="B99" s="27" t="s">
        <v>55</v>
      </c>
      <c r="C99" s="26"/>
      <c r="D99" s="91">
        <f t="shared" si="18"/>
        <v>540035.59790664446</v>
      </c>
      <c r="E99" s="92">
        <f t="shared" si="14"/>
        <v>6.7282081485828655</v>
      </c>
      <c r="F99" s="80">
        <f t="shared" si="19"/>
        <v>3633471.9103603051</v>
      </c>
      <c r="G99" s="26"/>
      <c r="H99" s="91">
        <f t="shared" si="20"/>
        <v>364034.36121477548</v>
      </c>
      <c r="I99" s="92">
        <f t="shared" si="15"/>
        <v>0.95496554186256499</v>
      </c>
      <c r="J99" s="80">
        <f t="shared" si="21"/>
        <v>347640.27101406077</v>
      </c>
      <c r="K99" s="26"/>
      <c r="L99" s="91">
        <f t="shared" si="22"/>
        <v>547077.00209706905</v>
      </c>
      <c r="M99" s="92">
        <f t="shared" si="16"/>
        <v>3.9201812602470509</v>
      </c>
      <c r="N99" s="80">
        <f t="shared" si="23"/>
        <v>2144641.0115330666</v>
      </c>
      <c r="O99" s="26"/>
      <c r="P99" s="80">
        <f t="shared" si="17"/>
        <v>2492281.2825471275</v>
      </c>
      <c r="Q99" s="26"/>
    </row>
    <row r="100" spans="2:17" x14ac:dyDescent="0.2">
      <c r="B100" s="27" t="s">
        <v>56</v>
      </c>
      <c r="C100" s="26"/>
      <c r="D100" s="91">
        <f t="shared" si="18"/>
        <v>650018.34086221782</v>
      </c>
      <c r="E100" s="92">
        <f t="shared" si="14"/>
        <v>6.7405368957723004</v>
      </c>
      <c r="F100" s="80">
        <f t="shared" si="19"/>
        <v>4381472.6095104748</v>
      </c>
      <c r="G100" s="26"/>
      <c r="H100" s="91">
        <f t="shared" si="20"/>
        <v>439352.27008365653</v>
      </c>
      <c r="I100" s="92">
        <f t="shared" si="15"/>
        <v>0.97256101181937848</v>
      </c>
      <c r="J100" s="80">
        <f t="shared" si="21"/>
        <v>427296.88833770185</v>
      </c>
      <c r="K100" s="26"/>
      <c r="L100" s="91">
        <f t="shared" si="22"/>
        <v>664414.04564373405</v>
      </c>
      <c r="M100" s="92">
        <f t="shared" si="16"/>
        <v>3.917775804163858</v>
      </c>
      <c r="N100" s="80">
        <f t="shared" si="23"/>
        <v>2603025.2719696425</v>
      </c>
      <c r="O100" s="26"/>
      <c r="P100" s="80">
        <f t="shared" si="17"/>
        <v>3030322.1603073445</v>
      </c>
      <c r="Q100" s="26"/>
    </row>
    <row r="101" spans="2:17" x14ac:dyDescent="0.2">
      <c r="B101" s="27" t="s">
        <v>57</v>
      </c>
      <c r="C101" s="26"/>
      <c r="D101" s="91">
        <f t="shared" si="18"/>
        <v>780160.0729723447</v>
      </c>
      <c r="E101" s="92">
        <f t="shared" si="14"/>
        <v>6.7085002239741733</v>
      </c>
      <c r="F101" s="80">
        <f t="shared" si="19"/>
        <v>5233704.0242706817</v>
      </c>
      <c r="G101" s="26"/>
      <c r="H101" s="91">
        <f t="shared" si="20"/>
        <v>571836.07123427652</v>
      </c>
      <c r="I101" s="92">
        <f t="shared" si="15"/>
        <v>0.96483799808809001</v>
      </c>
      <c r="J101" s="80">
        <f t="shared" si="21"/>
        <v>551729.1702042378</v>
      </c>
      <c r="K101" s="26"/>
      <c r="L101" s="91">
        <f t="shared" si="22"/>
        <v>819686.16047185427</v>
      </c>
      <c r="M101" s="92">
        <f t="shared" si="16"/>
        <v>3.9201097985236428</v>
      </c>
      <c r="N101" s="80">
        <f t="shared" si="23"/>
        <v>3213259.7493799389</v>
      </c>
      <c r="O101" s="26"/>
      <c r="P101" s="80">
        <f t="shared" si="17"/>
        <v>3764988.9195841765</v>
      </c>
      <c r="Q101" s="26"/>
    </row>
    <row r="102" spans="2:17" x14ac:dyDescent="0.2">
      <c r="B102" s="27" t="s">
        <v>58</v>
      </c>
      <c r="C102" s="26"/>
      <c r="D102" s="91">
        <f t="shared" si="18"/>
        <v>805320.27635392908</v>
      </c>
      <c r="E102" s="92">
        <f t="shared" si="14"/>
        <v>6.7437228493198926</v>
      </c>
      <c r="F102" s="80">
        <f t="shared" si="19"/>
        <v>5430856.7486686017</v>
      </c>
      <c r="G102" s="26"/>
      <c r="H102" s="91">
        <f t="shared" si="20"/>
        <v>563326.98088531604</v>
      </c>
      <c r="I102" s="92">
        <f t="shared" si="15"/>
        <v>0.97606997903849335</v>
      </c>
      <c r="J102" s="80">
        <f t="shared" si="21"/>
        <v>549846.55442454817</v>
      </c>
      <c r="K102" s="26"/>
      <c r="L102" s="91">
        <f t="shared" si="22"/>
        <v>818714.68397959566</v>
      </c>
      <c r="M102" s="92">
        <f t="shared" si="16"/>
        <v>3.9174007627337244</v>
      </c>
      <c r="N102" s="80">
        <f t="shared" si="23"/>
        <v>3207233.5274829683</v>
      </c>
      <c r="O102" s="26"/>
      <c r="P102" s="80">
        <f t="shared" si="17"/>
        <v>3757080.0819075163</v>
      </c>
      <c r="Q102" s="26"/>
    </row>
    <row r="103" spans="2:17" x14ac:dyDescent="0.2">
      <c r="B103" s="27" t="s">
        <v>59</v>
      </c>
      <c r="C103" s="26"/>
      <c r="D103" s="91">
        <f t="shared" si="18"/>
        <v>821845.23606894293</v>
      </c>
      <c r="E103" s="92">
        <f t="shared" si="14"/>
        <v>6.7142910544518291</v>
      </c>
      <c r="F103" s="80">
        <f t="shared" si="19"/>
        <v>5518108.1166815553</v>
      </c>
      <c r="G103" s="26"/>
      <c r="H103" s="91">
        <f t="shared" si="20"/>
        <v>547360.15503260854</v>
      </c>
      <c r="I103" s="92">
        <f t="shared" si="15"/>
        <v>0.97569007323063384</v>
      </c>
      <c r="J103" s="80">
        <f t="shared" si="21"/>
        <v>534053.86974729691</v>
      </c>
      <c r="K103" s="26"/>
      <c r="L103" s="91">
        <f t="shared" si="22"/>
        <v>843740.61717655696</v>
      </c>
      <c r="M103" s="92">
        <f t="shared" si="16"/>
        <v>3.9206672452512592</v>
      </c>
      <c r="N103" s="80">
        <f t="shared" si="23"/>
        <v>3308026.201252209</v>
      </c>
      <c r="O103" s="26"/>
      <c r="P103" s="80">
        <f t="shared" si="17"/>
        <v>3842080.0709995059</v>
      </c>
      <c r="Q103" s="26"/>
    </row>
    <row r="104" spans="2:17" x14ac:dyDescent="0.2">
      <c r="B104" s="27" t="s">
        <v>60</v>
      </c>
      <c r="C104" s="26"/>
      <c r="D104" s="91">
        <f t="shared" si="18"/>
        <v>702183.2615406682</v>
      </c>
      <c r="E104" s="92">
        <f t="shared" si="14"/>
        <v>6.7246873766853223</v>
      </c>
      <c r="F104" s="80">
        <f t="shared" si="19"/>
        <v>4721962.9150022594</v>
      </c>
      <c r="G104" s="26"/>
      <c r="H104" s="91">
        <f t="shared" si="20"/>
        <v>458088.535670451</v>
      </c>
      <c r="I104" s="92">
        <f t="shared" si="15"/>
        <v>0.97079360888268162</v>
      </c>
      <c r="J104" s="80">
        <f t="shared" si="21"/>
        <v>444709.42273130018</v>
      </c>
      <c r="K104" s="26"/>
      <c r="L104" s="91">
        <f t="shared" si="22"/>
        <v>704818.49726024386</v>
      </c>
      <c r="M104" s="92">
        <f t="shared" si="16"/>
        <v>3.9203039536368616</v>
      </c>
      <c r="N104" s="80">
        <f t="shared" si="23"/>
        <v>2763102.7414057255</v>
      </c>
      <c r="O104" s="26"/>
      <c r="P104" s="80">
        <f t="shared" si="17"/>
        <v>3207812.1641370258</v>
      </c>
      <c r="Q104" s="26"/>
    </row>
    <row r="105" spans="2:17" x14ac:dyDescent="0.2">
      <c r="B105" s="27" t="s">
        <v>61</v>
      </c>
      <c r="C105" s="26"/>
      <c r="D105" s="91">
        <f t="shared" si="18"/>
        <v>581757.9044925085</v>
      </c>
      <c r="E105" s="92">
        <f t="shared" si="14"/>
        <v>6.7177685751386411</v>
      </c>
      <c r="F105" s="80">
        <f t="shared" si="19"/>
        <v>3908114.9691382805</v>
      </c>
      <c r="G105" s="26"/>
      <c r="H105" s="91">
        <f t="shared" si="20"/>
        <v>436682.72516125836</v>
      </c>
      <c r="I105" s="92">
        <f t="shared" si="15"/>
        <v>0.98871586166878656</v>
      </c>
      <c r="J105" s="80">
        <f t="shared" si="21"/>
        <v>431755.13688368746</v>
      </c>
      <c r="K105" s="26"/>
      <c r="L105" s="91">
        <f t="shared" si="22"/>
        <v>600793.62291897996</v>
      </c>
      <c r="M105" s="92">
        <f t="shared" si="16"/>
        <v>3.9200162684539706</v>
      </c>
      <c r="N105" s="80">
        <f t="shared" si="23"/>
        <v>2355120.7758258018</v>
      </c>
      <c r="O105" s="26"/>
      <c r="P105" s="80">
        <f t="shared" si="17"/>
        <v>2786875.9127094895</v>
      </c>
      <c r="Q105" s="26"/>
    </row>
    <row r="106" spans="2:17" x14ac:dyDescent="0.2">
      <c r="B106" s="27" t="s">
        <v>62</v>
      </c>
      <c r="C106" s="26"/>
      <c r="D106" s="91">
        <f t="shared" si="18"/>
        <v>590315.86146882526</v>
      </c>
      <c r="E106" s="92">
        <f t="shared" si="14"/>
        <v>6.6870386749054456</v>
      </c>
      <c r="F106" s="80">
        <f t="shared" si="19"/>
        <v>3947464.9960521599</v>
      </c>
      <c r="G106" s="26"/>
      <c r="H106" s="91">
        <f t="shared" si="20"/>
        <v>399572.7731137349</v>
      </c>
      <c r="I106" s="92">
        <f t="shared" si="15"/>
        <v>0.95456294685400933</v>
      </c>
      <c r="J106" s="80">
        <f t="shared" si="21"/>
        <v>381417.36378607526</v>
      </c>
      <c r="K106" s="26"/>
      <c r="L106" s="91">
        <f t="shared" si="22"/>
        <v>574102.60709247109</v>
      </c>
      <c r="M106" s="92">
        <f t="shared" si="16"/>
        <v>3.9268920310988218</v>
      </c>
      <c r="N106" s="80">
        <f t="shared" si="23"/>
        <v>2254438.9528244827</v>
      </c>
      <c r="O106" s="26"/>
      <c r="P106" s="80">
        <f t="shared" si="17"/>
        <v>2635856.316610558</v>
      </c>
      <c r="Q106" s="26"/>
    </row>
    <row r="107" spans="2:17" x14ac:dyDescent="0.2">
      <c r="B107" s="27" t="s">
        <v>63</v>
      </c>
      <c r="C107" s="26"/>
      <c r="D107" s="91">
        <f t="shared" si="18"/>
        <v>627114.42799989472</v>
      </c>
      <c r="E107" s="92">
        <f t="shared" si="14"/>
        <v>6.701310489010214</v>
      </c>
      <c r="F107" s="80">
        <f t="shared" si="19"/>
        <v>4202488.4941653349</v>
      </c>
      <c r="G107" s="26"/>
      <c r="H107" s="91">
        <f t="shared" si="20"/>
        <v>460988.94811193709</v>
      </c>
      <c r="I107" s="92">
        <f t="shared" si="15"/>
        <v>0.96606155594016785</v>
      </c>
      <c r="J107" s="80">
        <f t="shared" si="21"/>
        <v>445343.70048423926</v>
      </c>
      <c r="K107" s="26"/>
      <c r="L107" s="91">
        <f t="shared" si="22"/>
        <v>632614.07962029043</v>
      </c>
      <c r="M107" s="92">
        <f t="shared" si="16"/>
        <v>3.9237289936961104</v>
      </c>
      <c r="N107" s="80">
        <f t="shared" si="23"/>
        <v>2482206.2060265131</v>
      </c>
      <c r="O107" s="26"/>
      <c r="P107" s="80">
        <f t="shared" si="17"/>
        <v>2927549.9065107526</v>
      </c>
      <c r="Q107" s="26"/>
    </row>
    <row r="108" spans="2:17" x14ac:dyDescent="0.2">
      <c r="B108" s="26"/>
      <c r="C108" s="26"/>
      <c r="D108" s="26"/>
      <c r="E108" s="26"/>
      <c r="F108" s="26"/>
      <c r="G108" s="26"/>
      <c r="H108" s="26"/>
      <c r="I108" s="26"/>
      <c r="J108" s="26"/>
      <c r="K108" s="26"/>
      <c r="L108" s="26"/>
      <c r="M108" s="26"/>
      <c r="N108" s="26"/>
      <c r="O108" s="26"/>
      <c r="P108" s="80"/>
      <c r="Q108" s="26"/>
    </row>
    <row r="109" spans="2:17" ht="13.5" thickBot="1" x14ac:dyDescent="0.25">
      <c r="B109" s="74" t="s">
        <v>3</v>
      </c>
      <c r="C109" s="26"/>
      <c r="D109" s="81">
        <f>SUM(D96:D107)</f>
        <v>7947253.7064684769</v>
      </c>
      <c r="E109" s="82">
        <f>IF(D109&lt;&gt;0,F109/D109,0)</f>
        <v>6.7093467978185632</v>
      </c>
      <c r="F109" s="83">
        <f>SUM(F96:F107)</f>
        <v>53320881.206945986</v>
      </c>
      <c r="G109" s="26"/>
      <c r="H109" s="81">
        <f>SUM(H96:H107)</f>
        <v>5511630.4177406197</v>
      </c>
      <c r="I109" s="82">
        <f>IF(H109&lt;&gt;0,J109/H109,0)</f>
        <v>0.96308617025283416</v>
      </c>
      <c r="J109" s="83">
        <f>SUM(J96:J107)</f>
        <v>5308175.0308708418</v>
      </c>
      <c r="K109" s="26"/>
      <c r="L109" s="81">
        <f>SUM(L96:L107)</f>
        <v>8129263.6193919489</v>
      </c>
      <c r="M109" s="82">
        <f>IF(L109&lt;&gt;0,N109/L109,0)</f>
        <v>3.9216244481143812</v>
      </c>
      <c r="N109" s="83">
        <f>SUM(N96:N107)</f>
        <v>31879918.954974268</v>
      </c>
      <c r="O109" s="26"/>
      <c r="P109" s="83">
        <f>SUM(P96:P107)</f>
        <v>37188093.985845111</v>
      </c>
      <c r="Q109" s="26"/>
    </row>
    <row r="111" spans="2:17" x14ac:dyDescent="0.2">
      <c r="N111" s="94" t="s">
        <v>68</v>
      </c>
      <c r="P111" s="95" t="e">
        <f>#REF!</f>
        <v>#REF!</v>
      </c>
    </row>
    <row r="113" spans="14:16" ht="13.5" thickBot="1" x14ac:dyDescent="0.25">
      <c r="N113" s="96" t="s">
        <v>69</v>
      </c>
      <c r="P113" s="8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9113-E2D8-4CBF-B3CB-4EFBB372C9D6}">
  <dimension ref="A3:M49"/>
  <sheetViews>
    <sheetView tabSelected="1" topLeftCell="B13" workbookViewId="0">
      <selection activeCell="B38" activeCellId="1" sqref="B36:J37 B38:J39"/>
    </sheetView>
  </sheetViews>
  <sheetFormatPr defaultColWidth="9.28515625" defaultRowHeight="12.75" x14ac:dyDescent="0.2"/>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9.28515625" style="1"/>
    <col min="12" max="12" width="14.28515625" style="1" customWidth="1"/>
    <col min="13" max="13" width="12.140625" style="1" customWidth="1"/>
    <col min="14" max="16384" width="9.28515625" style="1"/>
  </cols>
  <sheetData>
    <row r="3" spans="1:13" x14ac:dyDescent="0.2">
      <c r="D3" s="100"/>
      <c r="E3" s="101"/>
      <c r="F3" s="101"/>
      <c r="G3" s="101"/>
      <c r="H3" s="102"/>
      <c r="I3" s="101"/>
      <c r="J3" s="100"/>
    </row>
    <row r="4" spans="1:13" x14ac:dyDescent="0.2">
      <c r="D4" s="100"/>
      <c r="E4" s="101"/>
      <c r="F4" s="101"/>
      <c r="G4" s="101"/>
      <c r="H4" s="102"/>
      <c r="I4" s="101"/>
      <c r="J4" s="100"/>
    </row>
    <row r="5" spans="1:13" x14ac:dyDescent="0.2">
      <c r="D5" s="100"/>
      <c r="E5" s="101"/>
      <c r="F5" s="101"/>
      <c r="G5" s="101"/>
      <c r="H5" s="102"/>
      <c r="I5" s="101"/>
      <c r="J5" s="100"/>
    </row>
    <row r="6" spans="1:13" x14ac:dyDescent="0.2">
      <c r="D6" s="100"/>
      <c r="E6" s="101"/>
      <c r="F6" s="101"/>
      <c r="G6" s="101"/>
      <c r="H6" s="102"/>
      <c r="I6" s="101"/>
      <c r="J6" s="100"/>
    </row>
    <row r="7" spans="1:13" x14ac:dyDescent="0.2">
      <c r="D7" s="100"/>
      <c r="E7" s="101"/>
      <c r="F7" s="101"/>
      <c r="G7" s="101"/>
      <c r="H7" s="102"/>
      <c r="I7" s="101"/>
      <c r="J7" s="100"/>
    </row>
    <row r="8" spans="1:13" x14ac:dyDescent="0.2">
      <c r="D8" s="100"/>
      <c r="E8" s="101"/>
      <c r="F8" s="101"/>
      <c r="G8" s="101"/>
      <c r="H8" s="102"/>
      <c r="I8" s="101"/>
      <c r="J8" s="100"/>
    </row>
    <row r="9" spans="1:13" x14ac:dyDescent="0.2">
      <c r="D9" s="100"/>
      <c r="E9" s="101"/>
      <c r="F9" s="101"/>
      <c r="G9" s="101"/>
      <c r="H9" s="102"/>
      <c r="I9" s="101"/>
      <c r="J9" s="100"/>
    </row>
    <row r="10" spans="1:13" x14ac:dyDescent="0.2">
      <c r="D10" s="100"/>
      <c r="E10" s="101"/>
      <c r="F10" s="101"/>
      <c r="G10" s="101"/>
      <c r="H10" s="102"/>
      <c r="I10" s="101"/>
      <c r="J10" s="100"/>
    </row>
    <row r="11" spans="1:13" x14ac:dyDescent="0.2">
      <c r="D11" s="100"/>
      <c r="E11" s="101"/>
      <c r="F11" s="101"/>
      <c r="G11" s="101"/>
      <c r="H11" s="102"/>
      <c r="I11" s="101"/>
      <c r="J11" s="100"/>
    </row>
    <row r="12" spans="1:13" x14ac:dyDescent="0.2">
      <c r="D12" s="100"/>
      <c r="E12" s="101"/>
      <c r="F12" s="101"/>
      <c r="G12" s="101"/>
      <c r="H12" s="102"/>
      <c r="I12" s="101"/>
      <c r="J12" s="100"/>
    </row>
    <row r="13" spans="1:13" ht="15.75" x14ac:dyDescent="0.25">
      <c r="A13" s="103" t="s">
        <v>71</v>
      </c>
      <c r="D13" s="100"/>
      <c r="E13" s="101"/>
      <c r="F13" s="101"/>
      <c r="G13" s="101"/>
      <c r="H13" s="102"/>
      <c r="I13" s="101"/>
      <c r="J13" s="100"/>
    </row>
    <row r="14" spans="1:13" x14ac:dyDescent="0.2">
      <c r="D14" s="100"/>
      <c r="E14" s="101"/>
      <c r="F14" s="101"/>
      <c r="G14" s="101"/>
      <c r="H14" s="102"/>
      <c r="I14" s="101"/>
      <c r="J14" s="100"/>
    </row>
    <row r="15" spans="1:13" ht="47.25" x14ac:dyDescent="0.2">
      <c r="A15" s="104" t="s">
        <v>6</v>
      </c>
      <c r="B15" s="104" t="s">
        <v>7</v>
      </c>
      <c r="C15" s="105" t="s">
        <v>8</v>
      </c>
      <c r="D15" s="106" t="s">
        <v>72</v>
      </c>
      <c r="E15" s="107" t="s">
        <v>13</v>
      </c>
      <c r="F15" s="108" t="s">
        <v>73</v>
      </c>
      <c r="G15" s="109" t="s">
        <v>74</v>
      </c>
      <c r="H15" s="110" t="s">
        <v>75</v>
      </c>
      <c r="I15" s="108" t="s">
        <v>76</v>
      </c>
      <c r="J15" s="111" t="s">
        <v>77</v>
      </c>
    </row>
    <row r="16" spans="1:13" x14ac:dyDescent="0.2">
      <c r="G16" s="112"/>
      <c r="M16" s="118"/>
    </row>
    <row r="17" spans="1:13" x14ac:dyDescent="0.2">
      <c r="A17" s="1" t="s">
        <v>14</v>
      </c>
      <c r="B17" s="1" t="s">
        <v>15</v>
      </c>
      <c r="C17" s="99" t="s">
        <v>16</v>
      </c>
      <c r="D17" s="100">
        <f>'8. RTSR Rates to Forecast 2027'!J17</f>
        <v>1.2200000000000001E-2</v>
      </c>
      <c r="E17" s="112">
        <f>'3. RRR Data 2028'!H17</f>
        <v>1585798922.2359991</v>
      </c>
      <c r="F17" s="112">
        <f>'3. RRR Data 2028'!F17</f>
        <v>0</v>
      </c>
      <c r="G17" s="112">
        <f>IF(D17*E17=0,ROUND(D17*F17,2),ROUND(D17*E17,2))</f>
        <v>19346746.850000001</v>
      </c>
      <c r="H17" s="113">
        <f t="shared" ref="H17:H28" si="0">G17/$G$28</f>
        <v>0.39183854443137461</v>
      </c>
      <c r="I17" s="112">
        <f>H17*$I$28</f>
        <v>20893176.479927953</v>
      </c>
      <c r="J17" s="100">
        <f>IF(I17*E17=0,ROUND(I17/F17,4),ROUND(I17/E17,4))</f>
        <v>1.32E-2</v>
      </c>
      <c r="K17" s="121"/>
      <c r="L17" s="124"/>
      <c r="M17" s="118"/>
    </row>
    <row r="18" spans="1:13" x14ac:dyDescent="0.2">
      <c r="A18" s="1" t="s">
        <v>18</v>
      </c>
      <c r="B18" s="1" t="s">
        <v>15</v>
      </c>
      <c r="C18" s="99" t="s">
        <v>16</v>
      </c>
      <c r="D18" s="100">
        <f>'8. RTSR Rates to Forecast 2027'!J18</f>
        <v>1.23E-2</v>
      </c>
      <c r="E18" s="112">
        <f>'3. RRR Data 2028'!H19</f>
        <v>14126199.922950378</v>
      </c>
      <c r="F18" s="112">
        <f>'3. RRR Data 2028'!F19</f>
        <v>0</v>
      </c>
      <c r="G18" s="112">
        <f t="shared" ref="G18:G27" si="1">IF(D18*E18=0,ROUND(D18*F18,2),ROUND(D18*E18,2))</f>
        <v>173752.26</v>
      </c>
      <c r="H18" s="113">
        <f t="shared" si="0"/>
        <v>3.5190842769549009E-3</v>
      </c>
      <c r="I18" s="112">
        <f t="shared" ref="I18:I27" si="2">H18*$I$28</f>
        <v>187640.67468874369</v>
      </c>
      <c r="J18" s="100">
        <f t="shared" ref="J18:J27" si="3">IF(I18*E18=0,ROUND(I18/F18,4),ROUND(I18/E18,4))</f>
        <v>1.3299999999999999E-2</v>
      </c>
      <c r="K18" s="121"/>
      <c r="L18" s="124"/>
      <c r="M18" s="118"/>
    </row>
    <row r="19" spans="1:13" x14ac:dyDescent="0.2">
      <c r="A19" s="1" t="s">
        <v>19</v>
      </c>
      <c r="B19" s="1" t="s">
        <v>15</v>
      </c>
      <c r="C19" s="99" t="s">
        <v>16</v>
      </c>
      <c r="D19" s="100">
        <f>'8. RTSR Rates to Forecast 2027'!J19</f>
        <v>1.11E-2</v>
      </c>
      <c r="E19" s="112">
        <f>'3. RRR Data 2028'!H21</f>
        <v>369557548.28127521</v>
      </c>
      <c r="F19" s="112">
        <f>'3. RRR Data 2028'!F21</f>
        <v>0</v>
      </c>
      <c r="G19" s="112">
        <f t="shared" si="1"/>
        <v>4102088.79</v>
      </c>
      <c r="H19" s="113">
        <f t="shared" si="0"/>
        <v>8.3081487190796555E-2</v>
      </c>
      <c r="I19" s="112">
        <f t="shared" si="2"/>
        <v>4429978.1089968672</v>
      </c>
      <c r="J19" s="100">
        <f t="shared" si="3"/>
        <v>1.2E-2</v>
      </c>
      <c r="K19" s="121"/>
      <c r="L19" s="124"/>
      <c r="M19" s="118"/>
    </row>
    <row r="20" spans="1:13" x14ac:dyDescent="0.2">
      <c r="A20" s="1" t="s">
        <v>20</v>
      </c>
      <c r="B20" s="1" t="s">
        <v>15</v>
      </c>
      <c r="C20" s="99" t="s">
        <v>21</v>
      </c>
      <c r="D20" s="100">
        <f>'8. RTSR Rates to Forecast 2027'!J20</f>
        <v>5.1322999999999999</v>
      </c>
      <c r="E20" s="112"/>
      <c r="F20" s="112">
        <f>'3. RRR Data 2028'!F23</f>
        <v>3247733.9038704741</v>
      </c>
      <c r="G20" s="112">
        <f t="shared" si="1"/>
        <v>16668344.710000001</v>
      </c>
      <c r="H20" s="113">
        <f t="shared" si="0"/>
        <v>0.33759163645886042</v>
      </c>
      <c r="I20" s="112">
        <f t="shared" si="2"/>
        <v>18000683.544081394</v>
      </c>
      <c r="J20" s="100">
        <f t="shared" si="3"/>
        <v>5.5425000000000004</v>
      </c>
      <c r="K20" s="121"/>
      <c r="L20" s="124"/>
      <c r="M20" s="118"/>
    </row>
    <row r="21" spans="1:13" x14ac:dyDescent="0.2">
      <c r="A21" s="1" t="s">
        <v>20</v>
      </c>
      <c r="B21" s="1" t="s">
        <v>22</v>
      </c>
      <c r="C21" s="99" t="s">
        <v>21</v>
      </c>
      <c r="D21" s="100">
        <f>'8. RTSR Rates to Forecast 2027'!J21</f>
        <v>0.87560000000000004</v>
      </c>
      <c r="E21" s="112"/>
      <c r="F21" s="112">
        <f>'3. RRR Data 2028'!F25</f>
        <v>46671.433858583914</v>
      </c>
      <c r="G21" s="112">
        <f t="shared" si="1"/>
        <v>40865.51</v>
      </c>
      <c r="H21" s="113">
        <f t="shared" si="0"/>
        <v>8.2766793197822737E-4</v>
      </c>
      <c r="I21" s="112">
        <f t="shared" si="2"/>
        <v>44131.983479809714</v>
      </c>
      <c r="J21" s="100">
        <f t="shared" si="3"/>
        <v>0.9456</v>
      </c>
      <c r="K21" s="121"/>
      <c r="L21" s="124"/>
      <c r="M21" s="118"/>
    </row>
    <row r="22" spans="1:13" x14ac:dyDescent="0.2">
      <c r="A22" s="1" t="s">
        <v>24</v>
      </c>
      <c r="B22" s="1" t="s">
        <v>15</v>
      </c>
      <c r="C22" s="99" t="s">
        <v>21</v>
      </c>
      <c r="D22" s="100">
        <f>'8. RTSR Rates to Forecast 2027'!J22</f>
        <v>5.4393000000000002</v>
      </c>
      <c r="E22" s="112"/>
      <c r="F22" s="112">
        <f>'3. RRR Data 2028'!F27</f>
        <v>665751.74791153881</v>
      </c>
      <c r="G22" s="112">
        <f t="shared" si="1"/>
        <v>3621223.48</v>
      </c>
      <c r="H22" s="113">
        <f t="shared" si="0"/>
        <v>7.3342301342197838E-2</v>
      </c>
      <c r="I22" s="112">
        <f t="shared" si="2"/>
        <v>3910676.1373113659</v>
      </c>
      <c r="J22" s="100">
        <f t="shared" si="3"/>
        <v>5.8741000000000003</v>
      </c>
      <c r="K22" s="121"/>
      <c r="L22" s="124"/>
      <c r="M22" s="118"/>
    </row>
    <row r="23" spans="1:13" x14ac:dyDescent="0.2">
      <c r="A23" s="1" t="s">
        <v>24</v>
      </c>
      <c r="B23" s="1" t="s">
        <v>22</v>
      </c>
      <c r="C23" s="99" t="s">
        <v>21</v>
      </c>
      <c r="D23" s="100">
        <f>D22*0.17</f>
        <v>0.92468100000000009</v>
      </c>
      <c r="E23" s="112"/>
      <c r="F23" s="112"/>
      <c r="G23" s="112"/>
      <c r="H23" s="113">
        <f t="shared" si="0"/>
        <v>0</v>
      </c>
      <c r="I23" s="112">
        <f t="shared" si="2"/>
        <v>0</v>
      </c>
      <c r="J23" s="100">
        <f>J22*0.17</f>
        <v>0.99859700000000018</v>
      </c>
      <c r="K23" s="121"/>
      <c r="L23" s="124"/>
      <c r="M23" s="118"/>
    </row>
    <row r="24" spans="1:13" x14ac:dyDescent="0.2">
      <c r="A24" s="1" t="s">
        <v>27</v>
      </c>
      <c r="B24" s="1" t="s">
        <v>15</v>
      </c>
      <c r="C24" s="99" t="s">
        <v>21</v>
      </c>
      <c r="D24" s="100">
        <f>'8. RTSR Rates to Forecast 2027'!J24</f>
        <v>5.7962999999999996</v>
      </c>
      <c r="E24" s="112"/>
      <c r="F24" s="112">
        <f>'3. RRR Data 2028'!F31</f>
        <v>895387.42439179809</v>
      </c>
      <c r="G24" s="112">
        <f t="shared" si="1"/>
        <v>5189934.13</v>
      </c>
      <c r="H24" s="113">
        <f t="shared" si="0"/>
        <v>0.10511411820090634</v>
      </c>
      <c r="I24" s="112">
        <f t="shared" si="2"/>
        <v>5604777.409763406</v>
      </c>
      <c r="J24" s="100">
        <f t="shared" si="3"/>
        <v>6.2595999999999998</v>
      </c>
      <c r="K24" s="121"/>
      <c r="L24" s="124"/>
      <c r="M24" s="118"/>
    </row>
    <row r="25" spans="1:13" x14ac:dyDescent="0.2">
      <c r="A25" s="1" t="s">
        <v>28</v>
      </c>
      <c r="B25" s="1" t="s">
        <v>15</v>
      </c>
      <c r="C25" s="99" t="s">
        <v>16</v>
      </c>
      <c r="D25" s="100">
        <f>'8. RTSR Rates to Forecast 2027'!J25</f>
        <v>1.12E-2</v>
      </c>
      <c r="E25" s="112">
        <f>'3. RRR Data 2028'!H33</f>
        <v>6718178.6869876888</v>
      </c>
      <c r="F25" s="112">
        <f>'3. RRR Data 2028'!F33</f>
        <v>0</v>
      </c>
      <c r="G25" s="112">
        <f t="shared" si="1"/>
        <v>75243.600000000006</v>
      </c>
      <c r="H25" s="113">
        <f t="shared" si="0"/>
        <v>1.5239431688628612E-3</v>
      </c>
      <c r="I25" s="112">
        <f t="shared" si="2"/>
        <v>81257.992673073444</v>
      </c>
      <c r="J25" s="100">
        <f t="shared" si="3"/>
        <v>1.21E-2</v>
      </c>
      <c r="K25" s="121"/>
      <c r="L25" s="124"/>
      <c r="M25" s="118"/>
    </row>
    <row r="26" spans="1:13" x14ac:dyDescent="0.2">
      <c r="A26" s="1" t="s">
        <v>29</v>
      </c>
      <c r="B26" s="1" t="s">
        <v>15</v>
      </c>
      <c r="C26" s="99" t="s">
        <v>21</v>
      </c>
      <c r="D26" s="100">
        <f>'8. RTSR Rates to Forecast 2027'!J26</f>
        <v>3.3262999999999998</v>
      </c>
      <c r="E26" s="112"/>
      <c r="F26" s="112">
        <f>'3. RRR Data 2028'!F35</f>
        <v>644.51221350638025</v>
      </c>
      <c r="G26" s="112">
        <f t="shared" si="1"/>
        <v>2143.84</v>
      </c>
      <c r="H26" s="113">
        <f t="shared" si="0"/>
        <v>4.3420175578188132E-5</v>
      </c>
      <c r="I26" s="112">
        <f t="shared" si="2"/>
        <v>2315.2020239893068</v>
      </c>
      <c r="J26" s="100">
        <f t="shared" si="3"/>
        <v>3.5922000000000001</v>
      </c>
      <c r="K26" s="121"/>
      <c r="L26" s="124"/>
      <c r="M26" s="118"/>
    </row>
    <row r="27" spans="1:13" x14ac:dyDescent="0.2">
      <c r="A27" s="1" t="s">
        <v>30</v>
      </c>
      <c r="B27" s="1" t="s">
        <v>15</v>
      </c>
      <c r="C27" s="99" t="s">
        <v>21</v>
      </c>
      <c r="D27" s="100">
        <f>'8. RTSR Rates to Forecast 2027'!J27</f>
        <v>3.4914000000000001</v>
      </c>
      <c r="E27" s="112"/>
      <c r="F27" s="112">
        <f>'3. RRR Data 2028'!F37</f>
        <v>44090.904046101437</v>
      </c>
      <c r="G27" s="112">
        <f t="shared" si="1"/>
        <v>153938.98000000001</v>
      </c>
      <c r="H27" s="113">
        <f t="shared" si="0"/>
        <v>3.1177968224901072E-3</v>
      </c>
      <c r="I27" s="112">
        <f t="shared" si="2"/>
        <v>166243.67399938867</v>
      </c>
      <c r="J27" s="100">
        <f t="shared" si="3"/>
        <v>3.7705000000000002</v>
      </c>
      <c r="K27" s="121"/>
      <c r="L27" s="124"/>
      <c r="M27" s="118"/>
    </row>
    <row r="28" spans="1:13" x14ac:dyDescent="0.2">
      <c r="D28" s="100"/>
      <c r="E28" s="112"/>
      <c r="F28" s="112"/>
      <c r="G28" s="112">
        <f>SUM(G17:G27)</f>
        <v>49374282.149999999</v>
      </c>
      <c r="H28" s="113">
        <f t="shared" si="0"/>
        <v>1</v>
      </c>
      <c r="I28" s="112">
        <f>'7. Forecast Wholesale 2028'!F33+'7. Forecast Wholesale 2028'!F52</f>
        <v>53320881.206945986</v>
      </c>
      <c r="J28" s="100"/>
    </row>
    <row r="30" spans="1:13" ht="15.75" x14ac:dyDescent="0.25">
      <c r="A30" s="103" t="s">
        <v>78</v>
      </c>
    </row>
    <row r="31" spans="1:13" ht="47.25" x14ac:dyDescent="0.2">
      <c r="A31" s="104" t="s">
        <v>6</v>
      </c>
      <c r="B31" s="104" t="s">
        <v>7</v>
      </c>
      <c r="C31" s="105" t="s">
        <v>8</v>
      </c>
      <c r="D31" s="106" t="s">
        <v>79</v>
      </c>
      <c r="E31" s="107" t="s">
        <v>13</v>
      </c>
      <c r="F31" s="108" t="s">
        <v>73</v>
      </c>
      <c r="G31" s="109" t="s">
        <v>74</v>
      </c>
      <c r="H31" s="110" t="s">
        <v>75</v>
      </c>
      <c r="I31" s="108" t="s">
        <v>76</v>
      </c>
      <c r="J31" s="111" t="s">
        <v>80</v>
      </c>
    </row>
    <row r="33" spans="1:13" x14ac:dyDescent="0.2">
      <c r="A33" s="1" t="s">
        <v>14</v>
      </c>
      <c r="B33" s="1" t="s">
        <v>17</v>
      </c>
      <c r="C33" s="99" t="s">
        <v>16</v>
      </c>
      <c r="D33" s="100">
        <f>'8. RTSR Rates to Forecast 2027'!J43</f>
        <v>8.8000000000000005E-3</v>
      </c>
      <c r="E33" s="112">
        <f>'3. RRR Data 2028'!H18</f>
        <v>1585798922.2359991</v>
      </c>
      <c r="F33" s="112">
        <f>'3. RRR Data 2028'!F18</f>
        <v>0</v>
      </c>
      <c r="G33" s="112">
        <f>IF(D33*E33=0,ROUND(D33*F33,2),ROUND(D33*E33,2))</f>
        <v>13955030.52</v>
      </c>
      <c r="H33" s="113">
        <f>G33/$G$44</f>
        <v>0.40647568581013183</v>
      </c>
      <c r="I33" s="112">
        <f>H33*$I$44</f>
        <v>15116056.006868027</v>
      </c>
      <c r="J33" s="100">
        <f>IF(I33*E33=0,ROUND(I33/F33,4),ROUND(I33/E33,4))</f>
        <v>9.4999999999999998E-3</v>
      </c>
      <c r="K33" s="121"/>
      <c r="L33" s="118"/>
      <c r="M33" s="118"/>
    </row>
    <row r="34" spans="1:13" x14ac:dyDescent="0.2">
      <c r="A34" s="1" t="s">
        <v>18</v>
      </c>
      <c r="B34" s="1" t="s">
        <v>17</v>
      </c>
      <c r="C34" s="99" t="s">
        <v>16</v>
      </c>
      <c r="D34" s="100">
        <f>'8. RTSR Rates to Forecast 2027'!J44</f>
        <v>1.0699999999999999E-2</v>
      </c>
      <c r="E34" s="112">
        <f>'3. RRR Data 2028'!H20</f>
        <v>14126199.922950378</v>
      </c>
      <c r="F34" s="112">
        <f>'3. RRR Data 2028'!F20</f>
        <v>0</v>
      </c>
      <c r="G34" s="112">
        <f t="shared" ref="G34:G43" si="4">IF(D34*E34=0,ROUND(D34*F34,2),ROUND(D34*E34,2))</f>
        <v>151150.34</v>
      </c>
      <c r="H34" s="113">
        <f t="shared" ref="H34:H43" si="5">G34/$G$44</f>
        <v>4.4026373159042438E-3</v>
      </c>
      <c r="I34" s="112">
        <f>H34*$I$44</f>
        <v>163725.69028943585</v>
      </c>
      <c r="J34" s="100">
        <f t="shared" ref="J34:J43" si="6">IF(I34*E34=0,ROUND(I34/F34,4),ROUND(I34/E34,4))</f>
        <v>1.1599999999999999E-2</v>
      </c>
      <c r="K34" s="121"/>
      <c r="L34" s="118"/>
      <c r="M34" s="118"/>
    </row>
    <row r="35" spans="1:13" x14ac:dyDescent="0.2">
      <c r="A35" s="1" t="s">
        <v>19</v>
      </c>
      <c r="B35" s="1" t="s">
        <v>17</v>
      </c>
      <c r="C35" s="99" t="s">
        <v>16</v>
      </c>
      <c r="D35" s="100">
        <f>'8. RTSR Rates to Forecast 2027'!J45</f>
        <v>8.2000000000000007E-3</v>
      </c>
      <c r="E35" s="112">
        <f>'3. RRR Data 2028'!H22</f>
        <v>369557548.28127521</v>
      </c>
      <c r="F35" s="112">
        <f>'3. RRR Data 2028'!F22</f>
        <v>0</v>
      </c>
      <c r="G35" s="112">
        <f t="shared" si="4"/>
        <v>3030371.9</v>
      </c>
      <c r="H35" s="113">
        <f t="shared" si="5"/>
        <v>8.826727355034493E-2</v>
      </c>
      <c r="I35" s="112">
        <f t="shared" ref="I35:I43" si="7">H35*$I$44</f>
        <v>3282491.6646645269</v>
      </c>
      <c r="J35" s="100">
        <f t="shared" si="6"/>
        <v>8.8999999999999999E-3</v>
      </c>
      <c r="K35" s="121"/>
      <c r="L35" s="118"/>
      <c r="M35" s="118"/>
    </row>
    <row r="36" spans="1:13" x14ac:dyDescent="0.2">
      <c r="A36" s="1" t="s">
        <v>20</v>
      </c>
      <c r="B36" s="1" t="s">
        <v>17</v>
      </c>
      <c r="C36" s="99" t="s">
        <v>21</v>
      </c>
      <c r="D36" s="100">
        <f>'8. RTSR Rates to Forecast 2027'!J46</f>
        <v>3.6204000000000001</v>
      </c>
      <c r="E36" s="112"/>
      <c r="F36" s="112">
        <f>'3. RRR Data 2028'!F24</f>
        <v>3247733.9038704741</v>
      </c>
      <c r="G36" s="112">
        <f t="shared" si="4"/>
        <v>11758095.83</v>
      </c>
      <c r="H36" s="113">
        <f t="shared" si="5"/>
        <v>0.34248438650641527</v>
      </c>
      <c r="I36" s="112">
        <f t="shared" si="7"/>
        <v>12736341.554085072</v>
      </c>
      <c r="J36" s="100">
        <f t="shared" si="6"/>
        <v>3.9216000000000002</v>
      </c>
      <c r="K36" s="121"/>
      <c r="L36" s="118"/>
      <c r="M36" s="118"/>
    </row>
    <row r="37" spans="1:13" x14ac:dyDescent="0.2">
      <c r="A37" s="1" t="s">
        <v>20</v>
      </c>
      <c r="B37" s="1" t="s">
        <v>23</v>
      </c>
      <c r="C37" s="99" t="s">
        <v>21</v>
      </c>
      <c r="D37" s="100">
        <f>'8. RTSR Rates to Forecast 2027'!J47</f>
        <v>0.6149</v>
      </c>
      <c r="E37" s="112"/>
      <c r="F37" s="112">
        <f>'3. RRR Data 2028'!F26</f>
        <v>46671.433858583914</v>
      </c>
      <c r="G37" s="112">
        <f t="shared" si="4"/>
        <v>28698.26</v>
      </c>
      <c r="H37" s="113">
        <f t="shared" si="5"/>
        <v>8.359096670078421E-4</v>
      </c>
      <c r="I37" s="112">
        <f t="shared" si="7"/>
        <v>31085.887260364118</v>
      </c>
      <c r="J37" s="100">
        <f>IF(I37*E37=0,ROUND(I37/F37,4),ROUND(I37/E37,4))</f>
        <v>0.66610000000000003</v>
      </c>
      <c r="K37" s="121"/>
      <c r="L37" s="118"/>
      <c r="M37" s="118"/>
    </row>
    <row r="38" spans="1:13" x14ac:dyDescent="0.2">
      <c r="A38" s="1" t="s">
        <v>24</v>
      </c>
      <c r="B38" s="1" t="s">
        <v>25</v>
      </c>
      <c r="C38" s="99" t="s">
        <v>21</v>
      </c>
      <c r="D38" s="100">
        <f>'8. RTSR Rates to Forecast 2027'!J48</f>
        <v>2.5581</v>
      </c>
      <c r="E38" s="112"/>
      <c r="F38" s="112">
        <f>'3. RRR Data 2028'!F28</f>
        <v>665751.74791153881</v>
      </c>
      <c r="G38" s="112">
        <f t="shared" si="4"/>
        <v>1703059.55</v>
      </c>
      <c r="H38" s="113">
        <f t="shared" si="5"/>
        <v>4.9605932252862209E-2</v>
      </c>
      <c r="I38" s="112">
        <f t="shared" si="7"/>
        <v>1844750.0708749047</v>
      </c>
      <c r="J38" s="100">
        <f t="shared" si="6"/>
        <v>2.7709000000000001</v>
      </c>
      <c r="K38" s="121"/>
      <c r="L38" s="118"/>
      <c r="M38" s="118"/>
    </row>
    <row r="39" spans="1:13" x14ac:dyDescent="0.2">
      <c r="A39" s="1" t="s">
        <v>24</v>
      </c>
      <c r="B39" s="1" t="s">
        <v>26</v>
      </c>
      <c r="C39" s="99" t="s">
        <v>21</v>
      </c>
      <c r="D39" s="100">
        <f>D38*0.17</f>
        <v>0.43487700000000001</v>
      </c>
      <c r="E39" s="112"/>
      <c r="F39" s="112"/>
      <c r="G39" s="112"/>
      <c r="H39" s="113">
        <f t="shared" si="5"/>
        <v>0</v>
      </c>
      <c r="I39" s="112">
        <f t="shared" si="7"/>
        <v>0</v>
      </c>
      <c r="J39" s="100">
        <f>J38*0.17</f>
        <v>0.47105300000000006</v>
      </c>
      <c r="K39" s="121"/>
      <c r="L39" s="118"/>
      <c r="M39" s="118"/>
    </row>
    <row r="40" spans="1:13" x14ac:dyDescent="0.2">
      <c r="A40" s="1" t="s">
        <v>27</v>
      </c>
      <c r="B40" s="1" t="s">
        <v>25</v>
      </c>
      <c r="C40" s="99" t="s">
        <v>21</v>
      </c>
      <c r="D40" s="100">
        <f>'8. RTSR Rates to Forecast 2027'!J50</f>
        <v>3.9523000000000001</v>
      </c>
      <c r="E40" s="112"/>
      <c r="F40" s="112">
        <f>'3. RRR Data 2028'!F32</f>
        <v>895387.42439179809</v>
      </c>
      <c r="G40" s="112">
        <f t="shared" si="4"/>
        <v>3538839.72</v>
      </c>
      <c r="H40" s="113">
        <f t="shared" si="5"/>
        <v>0.10307768944665374</v>
      </c>
      <c r="I40" s="112">
        <f t="shared" si="7"/>
        <v>3833262.8029859131</v>
      </c>
      <c r="J40" s="100">
        <f t="shared" si="6"/>
        <v>4.2811000000000003</v>
      </c>
      <c r="K40" s="121"/>
      <c r="L40" s="118"/>
      <c r="M40" s="118"/>
    </row>
    <row r="41" spans="1:13" x14ac:dyDescent="0.2">
      <c r="A41" s="1" t="s">
        <v>28</v>
      </c>
      <c r="B41" s="1" t="s">
        <v>17</v>
      </c>
      <c r="C41" s="99" t="s">
        <v>16</v>
      </c>
      <c r="D41" s="100">
        <f>'8. RTSR Rates to Forecast 2027'!J51</f>
        <v>8.3000000000000001E-3</v>
      </c>
      <c r="E41" s="112">
        <f>'3. RRR Data 2028'!H34</f>
        <v>6718178.6869876888</v>
      </c>
      <c r="F41" s="112">
        <f>'3. RRR Data 2028'!F34</f>
        <v>0</v>
      </c>
      <c r="G41" s="112">
        <f t="shared" si="4"/>
        <v>55760.88</v>
      </c>
      <c r="H41" s="113">
        <f t="shared" si="5"/>
        <v>1.624177167286945E-3</v>
      </c>
      <c r="I41" s="112">
        <f t="shared" si="7"/>
        <v>60400.053146730577</v>
      </c>
      <c r="J41" s="100">
        <f t="shared" si="6"/>
        <v>8.9999999999999993E-3</v>
      </c>
      <c r="K41" s="121"/>
      <c r="L41" s="118"/>
      <c r="M41" s="118"/>
    </row>
    <row r="42" spans="1:13" x14ac:dyDescent="0.2">
      <c r="A42" s="1" t="s">
        <v>29</v>
      </c>
      <c r="B42" s="1" t="s">
        <v>17</v>
      </c>
      <c r="C42" s="99" t="s">
        <v>21</v>
      </c>
      <c r="D42" s="100">
        <f>'8. RTSR Rates to Forecast 2027'!J52</f>
        <v>2.3460000000000001</v>
      </c>
      <c r="E42" s="112"/>
      <c r="F42" s="112">
        <f>'3. RRR Data 2028'!F36</f>
        <v>644.51221350638025</v>
      </c>
      <c r="G42" s="112">
        <f t="shared" si="4"/>
        <v>1512.03</v>
      </c>
      <c r="H42" s="113">
        <f t="shared" si="5"/>
        <v>4.4041711720705978E-5</v>
      </c>
      <c r="I42" s="112">
        <f t="shared" si="7"/>
        <v>1637.8273147671098</v>
      </c>
      <c r="J42" s="100">
        <f t="shared" si="6"/>
        <v>2.5411999999999999</v>
      </c>
      <c r="K42" s="121"/>
      <c r="L42" s="118"/>
      <c r="M42" s="118"/>
    </row>
    <row r="43" spans="1:13" x14ac:dyDescent="0.2">
      <c r="A43" s="1" t="s">
        <v>30</v>
      </c>
      <c r="B43" s="1" t="s">
        <v>17</v>
      </c>
      <c r="C43" s="99" t="s">
        <v>21</v>
      </c>
      <c r="D43" s="100">
        <f>'8. RTSR Rates to Forecast 2027'!J53</f>
        <v>2.4779</v>
      </c>
      <c r="E43" s="112"/>
      <c r="F43" s="112">
        <f>'3. RRR Data 2028'!F38</f>
        <v>44090.904046101437</v>
      </c>
      <c r="G43" s="112">
        <f t="shared" si="4"/>
        <v>109252.85</v>
      </c>
      <c r="H43" s="113">
        <f t="shared" si="5"/>
        <v>3.1822665716722104E-3</v>
      </c>
      <c r="I43" s="112">
        <f t="shared" si="7"/>
        <v>118342.42835535924</v>
      </c>
      <c r="J43" s="100">
        <f t="shared" si="6"/>
        <v>2.6840999999999999</v>
      </c>
      <c r="K43" s="121"/>
      <c r="L43" s="118"/>
      <c r="M43" s="118"/>
    </row>
    <row r="44" spans="1:13" x14ac:dyDescent="0.2">
      <c r="D44" s="100"/>
      <c r="E44" s="112"/>
      <c r="F44" s="112"/>
      <c r="G44" s="112">
        <f>SUM(G33:G43)</f>
        <v>34331771.880000003</v>
      </c>
      <c r="H44" s="113">
        <f>G44/$G$44</f>
        <v>1</v>
      </c>
      <c r="I44" s="112">
        <f>'7. Forecast Wholesale 2028'!P33+'7. Forecast Wholesale 2028'!P52</f>
        <v>37188093.985845104</v>
      </c>
      <c r="J44" s="100"/>
    </row>
    <row r="46" spans="1:13" x14ac:dyDescent="0.2">
      <c r="D46" s="100"/>
      <c r="E46" s="112"/>
      <c r="F46" s="112"/>
      <c r="G46" s="112"/>
      <c r="H46" s="113"/>
      <c r="I46" s="112"/>
      <c r="J46" s="114"/>
    </row>
    <row r="47" spans="1:13" x14ac:dyDescent="0.2">
      <c r="D47" s="100"/>
      <c r="E47" s="112"/>
      <c r="F47" s="112"/>
      <c r="G47" s="112"/>
      <c r="H47" s="113"/>
      <c r="I47" s="112"/>
      <c r="J47" s="114"/>
    </row>
    <row r="48" spans="1:13" x14ac:dyDescent="0.2">
      <c r="D48" s="100"/>
      <c r="E48" s="112"/>
      <c r="F48" s="112"/>
      <c r="G48" s="112"/>
      <c r="H48" s="113"/>
      <c r="I48" s="112"/>
      <c r="J48" s="114"/>
    </row>
    <row r="49" spans="4:10" x14ac:dyDescent="0.2">
      <c r="D49" s="100"/>
      <c r="E49" s="112"/>
      <c r="F49" s="112"/>
      <c r="G49" s="112"/>
      <c r="H49" s="113"/>
      <c r="I49" s="112"/>
      <c r="J49" s="1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2D8C-4FF2-4E00-9646-36DD5875419C}">
  <dimension ref="A13:Q113"/>
  <sheetViews>
    <sheetView topLeftCell="B13" workbookViewId="0">
      <selection activeCell="D43" sqref="D43"/>
    </sheetView>
  </sheetViews>
  <sheetFormatPr defaultColWidth="9.28515625" defaultRowHeight="12.75" x14ac:dyDescent="0.2"/>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x14ac:dyDescent="0.25">
      <c r="B13" s="244" t="s">
        <v>70</v>
      </c>
      <c r="C13" s="243"/>
      <c r="D13" s="243"/>
      <c r="E13" s="243"/>
      <c r="F13" s="243"/>
      <c r="G13" s="243"/>
      <c r="H13" s="243"/>
      <c r="I13" s="243"/>
      <c r="J13" s="243"/>
      <c r="K13" s="243"/>
      <c r="L13" s="243"/>
      <c r="M13" s="243"/>
      <c r="N13" s="243"/>
      <c r="O13" s="243"/>
      <c r="P13" s="243"/>
    </row>
    <row r="16" spans="2:17" x14ac:dyDescent="0.2">
      <c r="B16" s="71" t="s">
        <v>47</v>
      </c>
      <c r="C16" s="72"/>
      <c r="D16" s="240" t="s">
        <v>0</v>
      </c>
      <c r="E16" s="240"/>
      <c r="F16" s="240"/>
      <c r="G16" s="72"/>
      <c r="H16" s="240" t="s">
        <v>1</v>
      </c>
      <c r="I16" s="240"/>
      <c r="J16" s="240"/>
      <c r="K16" s="72"/>
      <c r="L16" s="240" t="s">
        <v>2</v>
      </c>
      <c r="M16" s="240"/>
      <c r="N16" s="240"/>
      <c r="O16" s="72"/>
      <c r="P16" s="71" t="s">
        <v>48</v>
      </c>
      <c r="Q16" s="26"/>
    </row>
    <row r="17" spans="2:17" ht="15.75" x14ac:dyDescent="0.25">
      <c r="B17" s="26"/>
      <c r="C17" s="26"/>
      <c r="D17" s="241"/>
      <c r="E17" s="241"/>
      <c r="F17" s="241"/>
      <c r="G17" s="26"/>
      <c r="H17" s="241"/>
      <c r="I17" s="241"/>
      <c r="J17" s="241"/>
      <c r="K17" s="26"/>
      <c r="L17" s="241"/>
      <c r="M17" s="241"/>
      <c r="N17" s="241"/>
      <c r="O17" s="26"/>
      <c r="P17" s="90"/>
      <c r="Q17" s="73"/>
    </row>
    <row r="18" spans="2:17" x14ac:dyDescent="0.2">
      <c r="B18" s="74" t="s">
        <v>49</v>
      </c>
      <c r="C18" s="26"/>
      <c r="D18" s="90" t="s">
        <v>50</v>
      </c>
      <c r="E18" s="90" t="s">
        <v>9</v>
      </c>
      <c r="F18" s="90" t="s">
        <v>51</v>
      </c>
      <c r="G18" s="26"/>
      <c r="H18" s="90" t="s">
        <v>50</v>
      </c>
      <c r="I18" s="90" t="s">
        <v>9</v>
      </c>
      <c r="J18" s="90" t="s">
        <v>51</v>
      </c>
      <c r="K18" s="26"/>
      <c r="L18" s="90" t="s">
        <v>50</v>
      </c>
      <c r="M18" s="90" t="s">
        <v>9</v>
      </c>
      <c r="N18" s="90" t="s">
        <v>51</v>
      </c>
      <c r="O18" s="26"/>
      <c r="P18" s="90" t="s">
        <v>51</v>
      </c>
      <c r="Q18" s="26"/>
    </row>
    <row r="19" spans="2:17" x14ac:dyDescent="0.2">
      <c r="B19" s="26"/>
      <c r="C19" s="26"/>
      <c r="D19" s="26"/>
      <c r="E19" s="26"/>
      <c r="F19" s="26"/>
      <c r="G19" s="26"/>
      <c r="H19" s="26"/>
      <c r="I19" s="26"/>
      <c r="J19" s="26"/>
      <c r="K19" s="26"/>
      <c r="L19" s="26"/>
      <c r="M19" s="26"/>
      <c r="N19" s="26"/>
      <c r="O19" s="26"/>
      <c r="P19" s="26"/>
      <c r="Q19" s="26"/>
    </row>
    <row r="20" spans="2:17" x14ac:dyDescent="0.2">
      <c r="B20" s="27" t="s">
        <v>52</v>
      </c>
      <c r="C20" s="26"/>
      <c r="D20" s="97">
        <v>353004.11296406953</v>
      </c>
      <c r="E20" s="92">
        <f>'4. UTRs &amp; Sub-Transmission'!O22</f>
        <v>7.5603957976091127</v>
      </c>
      <c r="F20" s="98">
        <f>D20*E20</f>
        <v>2668850.8121922836</v>
      </c>
      <c r="G20" s="26"/>
      <c r="H20" s="97">
        <v>182659.69054341357</v>
      </c>
      <c r="I20" s="92">
        <f>'4. UTRs &amp; Sub-Transmission'!O24</f>
        <v>1.2136259601899371</v>
      </c>
      <c r="J20" s="98">
        <f>H20*I20</f>
        <v>221680.54232374707</v>
      </c>
      <c r="K20" s="26"/>
      <c r="L20" s="97">
        <v>376107.83065235807</v>
      </c>
      <c r="M20" s="92">
        <f>'4. UTRs &amp; Sub-Transmission'!O26</f>
        <v>4.0890903516542556</v>
      </c>
      <c r="N20" s="98">
        <f>L20*M20</f>
        <v>1537938.9015021701</v>
      </c>
      <c r="O20" s="26"/>
      <c r="P20" s="80">
        <f t="shared" ref="P20:P31" si="0">J20+N20</f>
        <v>1759619.4438259173</v>
      </c>
      <c r="Q20" s="26"/>
    </row>
    <row r="21" spans="2:17" x14ac:dyDescent="0.2">
      <c r="B21" s="27" t="s">
        <v>53</v>
      </c>
      <c r="C21" s="26"/>
      <c r="D21" s="97">
        <v>346368.0604942044</v>
      </c>
      <c r="E21" s="92">
        <f>E20</f>
        <v>7.5603957976091127</v>
      </c>
      <c r="F21" s="98">
        <f t="shared" ref="F21:F31" si="1">D21*E21</f>
        <v>2618679.6289864019</v>
      </c>
      <c r="G21" s="26"/>
      <c r="H21" s="97">
        <v>191844.63726136243</v>
      </c>
      <c r="I21" s="92">
        <f>I20</f>
        <v>1.2136259601899371</v>
      </c>
      <c r="J21" s="98">
        <f t="shared" ref="J21:J31" si="2">H21*I21</f>
        <v>232827.63210361116</v>
      </c>
      <c r="K21" s="26"/>
      <c r="L21" s="97">
        <v>368003.33124926832</v>
      </c>
      <c r="M21" s="92">
        <f>M20</f>
        <v>4.0890903516542556</v>
      </c>
      <c r="N21" s="98">
        <f t="shared" ref="N21:N31" si="3">L21*M21</f>
        <v>1504798.871188008</v>
      </c>
      <c r="O21" s="26"/>
      <c r="P21" s="80">
        <f t="shared" si="0"/>
        <v>1737626.5032916192</v>
      </c>
      <c r="Q21" s="26"/>
    </row>
    <row r="22" spans="2:17" x14ac:dyDescent="0.2">
      <c r="B22" s="27" t="s">
        <v>54</v>
      </c>
      <c r="C22" s="26"/>
      <c r="D22" s="97">
        <v>340724.32563237194</v>
      </c>
      <c r="E22" s="92">
        <f>E21</f>
        <v>7.5603957976091127</v>
      </c>
      <c r="F22" s="98">
        <f t="shared" si="1"/>
        <v>2576010.7596541839</v>
      </c>
      <c r="G22" s="26"/>
      <c r="H22" s="97">
        <v>183450.56882155722</v>
      </c>
      <c r="I22" s="92">
        <f t="shared" ref="I22:I31" si="4">I21</f>
        <v>1.2136259601899371</v>
      </c>
      <c r="J22" s="98">
        <f t="shared" si="2"/>
        <v>222640.3727334525</v>
      </c>
      <c r="K22" s="26"/>
      <c r="L22" s="97">
        <v>350431.1833413968</v>
      </c>
      <c r="M22" s="92">
        <f t="shared" ref="M22:M31" si="5">M21</f>
        <v>4.0890903516542556</v>
      </c>
      <c r="N22" s="98">
        <f t="shared" si="3"/>
        <v>1432944.7707200891</v>
      </c>
      <c r="O22" s="26"/>
      <c r="P22" s="80">
        <f t="shared" si="0"/>
        <v>1655585.1434535417</v>
      </c>
      <c r="Q22" s="26"/>
    </row>
    <row r="23" spans="2:17" x14ac:dyDescent="0.2">
      <c r="B23" s="27" t="s">
        <v>55</v>
      </c>
      <c r="C23" s="26"/>
      <c r="D23" s="97">
        <v>331541.66799771728</v>
      </c>
      <c r="E23" s="92">
        <f t="shared" ref="E23:E31" si="6">E22</f>
        <v>7.5603957976091127</v>
      </c>
      <c r="F23" s="98">
        <f t="shared" si="1"/>
        <v>2506586.2334622573</v>
      </c>
      <c r="G23" s="26"/>
      <c r="H23" s="97">
        <v>175318.60041893707</v>
      </c>
      <c r="I23" s="92">
        <f t="shared" si="4"/>
        <v>1.2136259601899371</v>
      </c>
      <c r="J23" s="98">
        <f t="shared" si="2"/>
        <v>212771.20477258842</v>
      </c>
      <c r="K23" s="26"/>
      <c r="L23" s="97">
        <v>334145.50024486164</v>
      </c>
      <c r="M23" s="92">
        <f t="shared" si="5"/>
        <v>4.0890903516542556</v>
      </c>
      <c r="N23" s="98">
        <f t="shared" si="3"/>
        <v>1366351.1410999484</v>
      </c>
      <c r="O23" s="26"/>
      <c r="P23" s="80">
        <f t="shared" si="0"/>
        <v>1579122.3458725368</v>
      </c>
      <c r="Q23" s="26"/>
    </row>
    <row r="24" spans="2:17" x14ac:dyDescent="0.2">
      <c r="B24" s="27" t="s">
        <v>56</v>
      </c>
      <c r="C24" s="26"/>
      <c r="D24" s="97">
        <v>407151.23374655459</v>
      </c>
      <c r="E24" s="92">
        <f t="shared" si="6"/>
        <v>7.5603957976091127</v>
      </c>
      <c r="F24" s="98">
        <f t="shared" si="1"/>
        <v>3078224.476608817</v>
      </c>
      <c r="G24" s="26"/>
      <c r="H24" s="97">
        <v>233747.45150320986</v>
      </c>
      <c r="I24" s="92">
        <f t="shared" si="4"/>
        <v>1.2136259601899371</v>
      </c>
      <c r="J24" s="98">
        <f t="shared" si="2"/>
        <v>283681.97527253383</v>
      </c>
      <c r="K24" s="26"/>
      <c r="L24" s="97">
        <v>419785.8289888521</v>
      </c>
      <c r="M24" s="92">
        <f t="shared" si="5"/>
        <v>4.0890903516542556</v>
      </c>
      <c r="N24" s="98">
        <f t="shared" si="3"/>
        <v>1716542.1830794984</v>
      </c>
      <c r="O24" s="26"/>
      <c r="P24" s="80">
        <f t="shared" si="0"/>
        <v>2000224.1583520323</v>
      </c>
      <c r="Q24" s="26"/>
    </row>
    <row r="25" spans="2:17" x14ac:dyDescent="0.2">
      <c r="B25" s="27" t="s">
        <v>57</v>
      </c>
      <c r="C25" s="26"/>
      <c r="D25" s="97">
        <v>463442.08103405131</v>
      </c>
      <c r="E25" s="92">
        <f t="shared" si="6"/>
        <v>7.5603957976091127</v>
      </c>
      <c r="F25" s="98">
        <f t="shared" si="1"/>
        <v>3503805.5618850635</v>
      </c>
      <c r="G25" s="26"/>
      <c r="H25" s="97">
        <v>291575.418222757</v>
      </c>
      <c r="I25" s="92">
        <f t="shared" si="4"/>
        <v>1.2136259601899371</v>
      </c>
      <c r="J25" s="98">
        <f t="shared" si="2"/>
        <v>353863.49690837594</v>
      </c>
      <c r="K25" s="26"/>
      <c r="L25" s="97">
        <v>501162.7400974083</v>
      </c>
      <c r="M25" s="92">
        <f t="shared" si="5"/>
        <v>4.0890903516542556</v>
      </c>
      <c r="N25" s="98">
        <f t="shared" si="3"/>
        <v>2049299.7251409215</v>
      </c>
      <c r="O25" s="26"/>
      <c r="P25" s="80">
        <f t="shared" si="0"/>
        <v>2403163.2220492973</v>
      </c>
      <c r="Q25" s="26"/>
    </row>
    <row r="26" spans="2:17" x14ac:dyDescent="0.2">
      <c r="B26" s="27" t="s">
        <v>58</v>
      </c>
      <c r="C26" s="26"/>
      <c r="D26" s="97">
        <v>507017.07062230661</v>
      </c>
      <c r="E26" s="92">
        <f t="shared" si="6"/>
        <v>7.5603957976091127</v>
      </c>
      <c r="F26" s="98">
        <f t="shared" si="1"/>
        <v>3833249.7300489694</v>
      </c>
      <c r="G26" s="26"/>
      <c r="H26" s="97">
        <v>305370.57869521034</v>
      </c>
      <c r="I26" s="92">
        <f t="shared" si="4"/>
        <v>1.2136259601899371</v>
      </c>
      <c r="J26" s="98">
        <f t="shared" si="2"/>
        <v>370605.66178273136</v>
      </c>
      <c r="K26" s="26"/>
      <c r="L26" s="97">
        <v>519959.54756767303</v>
      </c>
      <c r="M26" s="92">
        <f t="shared" si="5"/>
        <v>4.0890903516542556</v>
      </c>
      <c r="N26" s="98">
        <f t="shared" si="3"/>
        <v>2126161.5692094839</v>
      </c>
      <c r="O26" s="26"/>
      <c r="P26" s="80">
        <f t="shared" si="0"/>
        <v>2496767.2309922152</v>
      </c>
      <c r="Q26" s="26"/>
    </row>
    <row r="27" spans="2:17" x14ac:dyDescent="0.2">
      <c r="B27" s="27" t="s">
        <v>59</v>
      </c>
      <c r="C27" s="26"/>
      <c r="D27" s="97">
        <v>493007.88086184626</v>
      </c>
      <c r="E27" s="92">
        <f t="shared" si="6"/>
        <v>7.5603957976091127</v>
      </c>
      <c r="F27" s="98">
        <f t="shared" si="1"/>
        <v>3727334.7106560767</v>
      </c>
      <c r="G27" s="26"/>
      <c r="H27" s="97">
        <v>296119.24856172979</v>
      </c>
      <c r="I27" s="92">
        <f t="shared" si="4"/>
        <v>1.2136259601899371</v>
      </c>
      <c r="J27" s="98">
        <f t="shared" si="2"/>
        <v>359378.00736645196</v>
      </c>
      <c r="K27" s="26"/>
      <c r="L27" s="97">
        <v>511757.76212457998</v>
      </c>
      <c r="M27" s="92">
        <f t="shared" si="5"/>
        <v>4.0890903516542556</v>
      </c>
      <c r="N27" s="98">
        <f t="shared" si="3"/>
        <v>2092623.7274877937</v>
      </c>
      <c r="O27" s="26"/>
      <c r="P27" s="80">
        <f t="shared" si="0"/>
        <v>2452001.7348542456</v>
      </c>
      <c r="Q27" s="26"/>
    </row>
    <row r="28" spans="2:17" x14ac:dyDescent="0.2">
      <c r="B28" s="27" t="s">
        <v>60</v>
      </c>
      <c r="C28" s="26"/>
      <c r="D28" s="97">
        <v>428593.0769632592</v>
      </c>
      <c r="E28" s="92">
        <f t="shared" si="6"/>
        <v>7.5603957976091127</v>
      </c>
      <c r="F28" s="98">
        <f t="shared" si="1"/>
        <v>3240333.297957384</v>
      </c>
      <c r="G28" s="26"/>
      <c r="H28" s="97">
        <v>241395.27878910824</v>
      </c>
      <c r="I28" s="92">
        <f t="shared" si="4"/>
        <v>1.2136259601899371</v>
      </c>
      <c r="J28" s="98">
        <f t="shared" si="2"/>
        <v>292963.57700574904</v>
      </c>
      <c r="K28" s="26"/>
      <c r="L28" s="97">
        <v>429735.32952706132</v>
      </c>
      <c r="M28" s="92">
        <f t="shared" si="5"/>
        <v>4.0890903516542556</v>
      </c>
      <c r="N28" s="98">
        <f t="shared" si="3"/>
        <v>1757226.5897340686</v>
      </c>
      <c r="O28" s="26"/>
      <c r="P28" s="80">
        <f t="shared" si="0"/>
        <v>2050190.1667398177</v>
      </c>
      <c r="Q28" s="26"/>
    </row>
    <row r="29" spans="2:17" x14ac:dyDescent="0.2">
      <c r="B29" s="27" t="s">
        <v>61</v>
      </c>
      <c r="C29" s="26"/>
      <c r="D29" s="97">
        <v>351026.34499788692</v>
      </c>
      <c r="E29" s="92">
        <f t="shared" si="6"/>
        <v>7.5603957976091127</v>
      </c>
      <c r="F29" s="98">
        <f t="shared" si="1"/>
        <v>2653898.1035721106</v>
      </c>
      <c r="G29" s="26"/>
      <c r="H29" s="97">
        <v>252545.40351512164</v>
      </c>
      <c r="I29" s="92">
        <f t="shared" si="4"/>
        <v>1.2136259601899371</v>
      </c>
      <c r="J29" s="98">
        <f t="shared" si="2"/>
        <v>306495.65783259459</v>
      </c>
      <c r="K29" s="26"/>
      <c r="L29" s="97">
        <v>367821.34912738</v>
      </c>
      <c r="M29" s="92">
        <f t="shared" si="5"/>
        <v>4.0890903516542556</v>
      </c>
      <c r="N29" s="98">
        <f t="shared" si="3"/>
        <v>1504054.729849221</v>
      </c>
      <c r="O29" s="26"/>
      <c r="P29" s="80">
        <f t="shared" si="0"/>
        <v>1810550.3876818155</v>
      </c>
      <c r="Q29" s="26"/>
    </row>
    <row r="30" spans="2:17" x14ac:dyDescent="0.2">
      <c r="B30" s="27" t="s">
        <v>62</v>
      </c>
      <c r="C30" s="26"/>
      <c r="D30" s="97">
        <v>337881.28418098442</v>
      </c>
      <c r="E30" s="92">
        <f t="shared" si="6"/>
        <v>7.5603957976091127</v>
      </c>
      <c r="F30" s="98">
        <f t="shared" si="1"/>
        <v>2554516.241012685</v>
      </c>
      <c r="G30" s="26"/>
      <c r="H30" s="97">
        <v>191972.82592583727</v>
      </c>
      <c r="I30" s="92">
        <f t="shared" si="4"/>
        <v>1.2136259601899371</v>
      </c>
      <c r="J30" s="98">
        <f t="shared" si="2"/>
        <v>232983.20519461989</v>
      </c>
      <c r="K30" s="26"/>
      <c r="L30" s="97">
        <v>316969.36374688556</v>
      </c>
      <c r="M30" s="92">
        <f t="shared" si="5"/>
        <v>4.0890903516542556</v>
      </c>
      <c r="N30" s="98">
        <f t="shared" si="3"/>
        <v>1296116.367067378</v>
      </c>
      <c r="O30" s="26"/>
      <c r="P30" s="80">
        <f t="shared" si="0"/>
        <v>1529099.572261998</v>
      </c>
      <c r="Q30" s="26"/>
    </row>
    <row r="31" spans="2:17" x14ac:dyDescent="0.2">
      <c r="B31" s="27" t="s">
        <v>63</v>
      </c>
      <c r="C31" s="26"/>
      <c r="D31" s="97">
        <v>367977.00679138507</v>
      </c>
      <c r="E31" s="92">
        <f t="shared" si="6"/>
        <v>7.5603957976091127</v>
      </c>
      <c r="F31" s="98">
        <f t="shared" si="1"/>
        <v>2782051.8157623676</v>
      </c>
      <c r="G31" s="26"/>
      <c r="H31" s="97">
        <v>236671.75541154123</v>
      </c>
      <c r="I31" s="92">
        <f t="shared" si="4"/>
        <v>1.2136259601899371</v>
      </c>
      <c r="J31" s="98">
        <f t="shared" si="2"/>
        <v>287230.98641116964</v>
      </c>
      <c r="K31" s="26"/>
      <c r="L31" s="97">
        <v>366768.37081205123</v>
      </c>
      <c r="M31" s="92">
        <f t="shared" si="5"/>
        <v>4.0890903516542556</v>
      </c>
      <c r="N31" s="98">
        <f t="shared" si="3"/>
        <v>1499749.0063795089</v>
      </c>
      <c r="O31" s="26"/>
      <c r="P31" s="80">
        <f t="shared" si="0"/>
        <v>1786979.9927906785</v>
      </c>
      <c r="Q31" s="26"/>
    </row>
    <row r="32" spans="2:17" x14ac:dyDescent="0.2">
      <c r="B32" s="26"/>
      <c r="C32" s="26"/>
      <c r="D32" s="26"/>
      <c r="E32" s="26"/>
      <c r="F32" s="26"/>
      <c r="G32" s="26"/>
      <c r="H32" s="26"/>
      <c r="I32" s="26"/>
      <c r="J32" s="26"/>
      <c r="K32" s="26"/>
      <c r="L32" s="26"/>
      <c r="M32" s="26"/>
      <c r="N32" s="26"/>
      <c r="O32" s="26"/>
      <c r="P32" s="26"/>
      <c r="Q32" s="26"/>
    </row>
    <row r="33" spans="2:17" ht="13.5" thickBot="1" x14ac:dyDescent="0.25">
      <c r="B33" s="74" t="s">
        <v>3</v>
      </c>
      <c r="C33" s="26"/>
      <c r="D33" s="81">
        <f>SUM(D20:D31)</f>
        <v>4727734.1462866385</v>
      </c>
      <c r="E33" s="82">
        <f>IF(D33&lt;&gt;0,F33/D33,0)</f>
        <v>7.560395797609111</v>
      </c>
      <c r="F33" s="83">
        <f>SUM(F20:F31)</f>
        <v>35743541.371798597</v>
      </c>
      <c r="G33" s="26"/>
      <c r="H33" s="81">
        <f>SUM(H20:H31)</f>
        <v>2782671.4576697852</v>
      </c>
      <c r="I33" s="82">
        <f>IF(H33&lt;&gt;0,J33/H33,0)</f>
        <v>1.2136259601899373</v>
      </c>
      <c r="J33" s="83">
        <f>SUM(J20:J31)</f>
        <v>3377122.3197076255</v>
      </c>
      <c r="K33" s="26"/>
      <c r="L33" s="81">
        <f>SUM(L20:L31)</f>
        <v>4862648.1374797765</v>
      </c>
      <c r="M33" s="82">
        <f>IF(L33&lt;&gt;0,N33/L33,0)</f>
        <v>4.0890903516542547</v>
      </c>
      <c r="N33" s="83">
        <f>SUM(N20:N31)</f>
        <v>19883807.582458086</v>
      </c>
      <c r="O33" s="26"/>
      <c r="P33" s="83">
        <f>SUM(P20:P31)</f>
        <v>23260929.902165711</v>
      </c>
      <c r="Q33" s="26"/>
    </row>
    <row r="34" spans="2:17" x14ac:dyDescent="0.2">
      <c r="B34" s="26"/>
      <c r="C34" s="26"/>
      <c r="D34" s="26"/>
      <c r="E34" s="26"/>
      <c r="F34" s="26"/>
      <c r="G34" s="26"/>
      <c r="H34" s="26"/>
      <c r="I34" s="26"/>
      <c r="J34" s="26"/>
      <c r="K34" s="26"/>
      <c r="L34" s="26"/>
      <c r="M34" s="26"/>
      <c r="N34" s="26"/>
      <c r="O34" s="26"/>
      <c r="P34" s="26"/>
      <c r="Q34" s="26"/>
    </row>
    <row r="35" spans="2:17" x14ac:dyDescent="0.2">
      <c r="B35" s="71" t="s">
        <v>64</v>
      </c>
      <c r="C35" s="72"/>
      <c r="D35" s="240" t="s">
        <v>0</v>
      </c>
      <c r="E35" s="240"/>
      <c r="F35" s="240"/>
      <c r="G35" s="72"/>
      <c r="H35" s="240" t="s">
        <v>1</v>
      </c>
      <c r="I35" s="240"/>
      <c r="J35" s="240"/>
      <c r="K35" s="72"/>
      <c r="L35" s="240" t="s">
        <v>2</v>
      </c>
      <c r="M35" s="240"/>
      <c r="N35" s="240"/>
      <c r="O35" s="72"/>
      <c r="P35" s="71" t="s">
        <v>48</v>
      </c>
      <c r="Q35" s="26"/>
    </row>
    <row r="36" spans="2:17" x14ac:dyDescent="0.2">
      <c r="B36" s="74"/>
      <c r="C36" s="26"/>
      <c r="D36" s="90"/>
      <c r="E36" s="90"/>
      <c r="F36" s="90"/>
      <c r="G36" s="26"/>
      <c r="H36" s="90"/>
      <c r="I36" s="90"/>
      <c r="J36" s="90"/>
      <c r="K36" s="26"/>
      <c r="L36" s="90"/>
      <c r="M36" s="90"/>
      <c r="N36" s="90"/>
      <c r="O36" s="26"/>
      <c r="P36" s="90"/>
      <c r="Q36" s="26"/>
    </row>
    <row r="37" spans="2:17" x14ac:dyDescent="0.2">
      <c r="B37" s="74" t="s">
        <v>49</v>
      </c>
      <c r="C37" s="26"/>
      <c r="D37" s="90" t="s">
        <v>50</v>
      </c>
      <c r="E37" s="90" t="s">
        <v>9</v>
      </c>
      <c r="F37" s="90" t="s">
        <v>51</v>
      </c>
      <c r="G37" s="26"/>
      <c r="H37" s="90" t="s">
        <v>50</v>
      </c>
      <c r="I37" s="90" t="s">
        <v>9</v>
      </c>
      <c r="J37" s="90" t="s">
        <v>51</v>
      </c>
      <c r="K37" s="26"/>
      <c r="L37" s="90" t="s">
        <v>50</v>
      </c>
      <c r="M37" s="90" t="s">
        <v>9</v>
      </c>
      <c r="N37" s="90" t="s">
        <v>51</v>
      </c>
      <c r="O37" s="26"/>
      <c r="P37" s="90" t="s">
        <v>51</v>
      </c>
      <c r="Q37" s="26"/>
    </row>
    <row r="38" spans="2:17" x14ac:dyDescent="0.2">
      <c r="B38" s="26"/>
      <c r="C38" s="26"/>
      <c r="D38" s="26"/>
      <c r="E38" s="26"/>
      <c r="F38" s="26"/>
      <c r="G38" s="26"/>
      <c r="H38" s="26"/>
      <c r="I38" s="26"/>
      <c r="J38" s="26"/>
      <c r="K38" s="26"/>
      <c r="L38" s="26"/>
      <c r="M38" s="26"/>
      <c r="N38" s="26"/>
      <c r="O38" s="26"/>
      <c r="P38" s="26"/>
      <c r="Q38" s="26"/>
    </row>
    <row r="39" spans="2:17" x14ac:dyDescent="0.2">
      <c r="B39" s="27" t="s">
        <v>52</v>
      </c>
      <c r="C39" s="26"/>
      <c r="D39" s="97">
        <v>309025.32908271864</v>
      </c>
      <c r="E39" s="92">
        <f>'4. UTRs &amp; Sub-Transmission'!O35</f>
        <v>6.4728346368638396</v>
      </c>
      <c r="F39" s="98">
        <f>D39*E39</f>
        <v>2000269.8537548676</v>
      </c>
      <c r="G39" s="26"/>
      <c r="H39" s="97">
        <v>280960.98476925062</v>
      </c>
      <c r="I39" s="92">
        <f>'4. UTRs &amp; Sub-Transmission'!O37</f>
        <v>0.83115704108541899</v>
      </c>
      <c r="J39" s="98">
        <f>H39*I39</f>
        <v>233522.70076125581</v>
      </c>
      <c r="K39" s="26"/>
      <c r="L39" s="97">
        <v>325755.20879249182</v>
      </c>
      <c r="M39" s="92">
        <f>'4. UTRs &amp; Sub-Transmission'!O39</f>
        <v>4.214473410275585</v>
      </c>
      <c r="N39" s="98">
        <f>L39*M39</f>
        <v>1372886.6657147282</v>
      </c>
      <c r="O39" s="26"/>
      <c r="P39" s="80">
        <f t="shared" ref="P39:P50" si="7">J39+N39</f>
        <v>1606409.366475984</v>
      </c>
      <c r="Q39" s="26"/>
    </row>
    <row r="40" spans="2:17" x14ac:dyDescent="0.2">
      <c r="B40" s="27" t="s">
        <v>53</v>
      </c>
      <c r="C40" s="26"/>
      <c r="D40" s="97">
        <v>309150.1756855839</v>
      </c>
      <c r="E40" s="92">
        <f t="shared" ref="E40:E50" si="8">E39</f>
        <v>6.4728346368638396</v>
      </c>
      <c r="F40" s="98">
        <f t="shared" ref="F40:F50" si="9">D40*E40</f>
        <v>2001077.9651701888</v>
      </c>
      <c r="G40" s="26"/>
      <c r="H40" s="97">
        <v>257645.75578457862</v>
      </c>
      <c r="I40" s="92">
        <f t="shared" ref="I40:I50" si="10">I39</f>
        <v>0.83115704108541899</v>
      </c>
      <c r="J40" s="98">
        <f t="shared" ref="J40:J50" si="11">H40*I40</f>
        <v>214144.08402612683</v>
      </c>
      <c r="K40" s="26"/>
      <c r="L40" s="97">
        <v>310837.72222631227</v>
      </c>
      <c r="M40" s="92">
        <f t="shared" ref="M40:M50" si="12">M39</f>
        <v>4.214473410275585</v>
      </c>
      <c r="N40" s="98">
        <f t="shared" ref="N40:N50" si="13">L40*M40</f>
        <v>1310017.3152334213</v>
      </c>
      <c r="O40" s="26"/>
      <c r="P40" s="80">
        <f t="shared" si="7"/>
        <v>1524161.3992595482</v>
      </c>
      <c r="Q40" s="26"/>
    </row>
    <row r="41" spans="2:17" x14ac:dyDescent="0.2">
      <c r="B41" s="27" t="s">
        <v>54</v>
      </c>
      <c r="C41" s="26"/>
      <c r="D41" s="97">
        <v>260136.45008990754</v>
      </c>
      <c r="E41" s="92">
        <f t="shared" si="8"/>
        <v>6.4728346368638396</v>
      </c>
      <c r="F41" s="98">
        <f t="shared" si="9"/>
        <v>1683820.2244527549</v>
      </c>
      <c r="G41" s="26"/>
      <c r="H41" s="97">
        <v>221868.82601881953</v>
      </c>
      <c r="I41" s="92">
        <f t="shared" si="10"/>
        <v>0.83115704108541899</v>
      </c>
      <c r="J41" s="98">
        <f t="shared" si="11"/>
        <v>184407.83694289767</v>
      </c>
      <c r="K41" s="26"/>
      <c r="L41" s="97">
        <v>264901.48599301471</v>
      </c>
      <c r="M41" s="92">
        <f t="shared" si="12"/>
        <v>4.214473410275585</v>
      </c>
      <c r="N41" s="98">
        <f t="shared" si="13"/>
        <v>1116420.2690600508</v>
      </c>
      <c r="O41" s="26"/>
      <c r="P41" s="80">
        <f t="shared" si="7"/>
        <v>1300828.1060029485</v>
      </c>
      <c r="Q41" s="26"/>
    </row>
    <row r="42" spans="2:17" x14ac:dyDescent="0.2">
      <c r="B42" s="27" t="s">
        <v>55</v>
      </c>
      <c r="C42" s="26"/>
      <c r="D42" s="97">
        <v>228916.71890955939</v>
      </c>
      <c r="E42" s="92">
        <f t="shared" si="8"/>
        <v>6.4728346368638396</v>
      </c>
      <c r="F42" s="98">
        <f t="shared" si="9"/>
        <v>1481740.0671150195</v>
      </c>
      <c r="G42" s="26"/>
      <c r="H42" s="97">
        <v>202482.62538196609</v>
      </c>
      <c r="I42" s="92">
        <f t="shared" si="10"/>
        <v>0.83115704108541899</v>
      </c>
      <c r="J42" s="98">
        <f t="shared" si="11"/>
        <v>168294.8597836823</v>
      </c>
      <c r="K42" s="26"/>
      <c r="L42" s="97">
        <v>233620.57906162925</v>
      </c>
      <c r="M42" s="92">
        <f t="shared" si="12"/>
        <v>4.214473410275585</v>
      </c>
      <c r="N42" s="98">
        <f t="shared" si="13"/>
        <v>984587.71854842152</v>
      </c>
      <c r="O42" s="26"/>
      <c r="P42" s="80">
        <f t="shared" si="7"/>
        <v>1152882.5783321038</v>
      </c>
      <c r="Q42" s="26"/>
    </row>
    <row r="43" spans="2:17" x14ac:dyDescent="0.2">
      <c r="B43" s="27" t="s">
        <v>56</v>
      </c>
      <c r="C43" s="26"/>
      <c r="D43" s="97">
        <v>267449.16702695249</v>
      </c>
      <c r="E43" s="92">
        <f t="shared" si="8"/>
        <v>6.4728346368638396</v>
      </c>
      <c r="F43" s="98">
        <f t="shared" si="9"/>
        <v>1731154.2319324403</v>
      </c>
      <c r="G43" s="26"/>
      <c r="H43" s="97">
        <v>222220.01717781465</v>
      </c>
      <c r="I43" s="92">
        <f t="shared" si="10"/>
        <v>0.83115704108541899</v>
      </c>
      <c r="J43" s="98">
        <f t="shared" si="11"/>
        <v>184699.73194746341</v>
      </c>
      <c r="K43" s="26"/>
      <c r="L43" s="97">
        <v>269754.68593919772</v>
      </c>
      <c r="M43" s="92">
        <f t="shared" si="12"/>
        <v>4.214473410275585</v>
      </c>
      <c r="N43" s="98">
        <f t="shared" si="13"/>
        <v>1136873.9511879899</v>
      </c>
      <c r="O43" s="26"/>
      <c r="P43" s="80">
        <f t="shared" si="7"/>
        <v>1321573.6831354534</v>
      </c>
      <c r="Q43" s="26"/>
    </row>
    <row r="44" spans="2:17" x14ac:dyDescent="0.2">
      <c r="B44" s="27" t="s">
        <v>57</v>
      </c>
      <c r="C44" s="26"/>
      <c r="D44" s="97">
        <v>346221.68506295729</v>
      </c>
      <c r="E44" s="92">
        <f t="shared" si="8"/>
        <v>6.4728346368638396</v>
      </c>
      <c r="F44" s="98">
        <f t="shared" si="9"/>
        <v>2241035.7151088738</v>
      </c>
      <c r="G44" s="26"/>
      <c r="H44" s="97">
        <v>301886.05598687468</v>
      </c>
      <c r="I44" s="92">
        <f t="shared" si="10"/>
        <v>0.83115704108541899</v>
      </c>
      <c r="J44" s="98">
        <f t="shared" si="11"/>
        <v>250914.7210389979</v>
      </c>
      <c r="K44" s="26"/>
      <c r="L44" s="97">
        <v>349521.89078444452</v>
      </c>
      <c r="M44" s="92">
        <f t="shared" si="12"/>
        <v>4.214473410275585</v>
      </c>
      <c r="N44" s="98">
        <f t="shared" si="13"/>
        <v>1473050.7150202885</v>
      </c>
      <c r="O44" s="26"/>
      <c r="P44" s="80">
        <f t="shared" si="7"/>
        <v>1723965.4360592864</v>
      </c>
      <c r="Q44" s="26"/>
    </row>
    <row r="45" spans="2:17" x14ac:dyDescent="0.2">
      <c r="B45" s="27" t="s">
        <v>58</v>
      </c>
      <c r="C45" s="26"/>
      <c r="D45" s="97">
        <v>328758.39451114112</v>
      </c>
      <c r="E45" s="92">
        <f t="shared" si="8"/>
        <v>6.4728346368638396</v>
      </c>
      <c r="F45" s="98">
        <f t="shared" si="9"/>
        <v>2127998.7231514612</v>
      </c>
      <c r="G45" s="26"/>
      <c r="H45" s="97">
        <v>279260.01275500178</v>
      </c>
      <c r="I45" s="92">
        <f t="shared" si="10"/>
        <v>0.83115704108541899</v>
      </c>
      <c r="J45" s="98">
        <f t="shared" si="11"/>
        <v>232108.92589492365</v>
      </c>
      <c r="K45" s="26"/>
      <c r="L45" s="97">
        <v>329716.86802266911</v>
      </c>
      <c r="M45" s="92">
        <f t="shared" si="12"/>
        <v>4.214473410275585</v>
      </c>
      <c r="N45" s="98">
        <f t="shared" si="13"/>
        <v>1389582.9732008833</v>
      </c>
      <c r="O45" s="26"/>
      <c r="P45" s="80">
        <f t="shared" si="7"/>
        <v>1621691.899095807</v>
      </c>
      <c r="Q45" s="26"/>
    </row>
    <row r="46" spans="2:17" x14ac:dyDescent="0.2">
      <c r="B46" s="27" t="s">
        <v>59</v>
      </c>
      <c r="C46" s="26"/>
      <c r="D46" s="97">
        <v>359917.47642960958</v>
      </c>
      <c r="E46" s="92">
        <f t="shared" si="8"/>
        <v>6.4728346368638396</v>
      </c>
      <c r="F46" s="98">
        <f t="shared" si="9"/>
        <v>2329686.3078462016</v>
      </c>
      <c r="G46" s="26"/>
      <c r="H46" s="97">
        <v>271940.69181265304</v>
      </c>
      <c r="I46" s="92">
        <f t="shared" si="10"/>
        <v>0.83115704108541899</v>
      </c>
      <c r="J46" s="98">
        <f t="shared" si="11"/>
        <v>226025.42075772653</v>
      </c>
      <c r="K46" s="26"/>
      <c r="L46" s="97">
        <v>363891.00455666723</v>
      </c>
      <c r="M46" s="92">
        <f t="shared" si="12"/>
        <v>4.214473410275585</v>
      </c>
      <c r="N46" s="98">
        <f t="shared" si="13"/>
        <v>1533608.9629425458</v>
      </c>
      <c r="O46" s="26"/>
      <c r="P46" s="80">
        <f t="shared" si="7"/>
        <v>1759634.3837002723</v>
      </c>
      <c r="Q46" s="26"/>
    </row>
    <row r="47" spans="2:17" x14ac:dyDescent="0.2">
      <c r="B47" s="27" t="s">
        <v>60</v>
      </c>
      <c r="C47" s="26"/>
      <c r="D47" s="97">
        <v>300144.99067872792</v>
      </c>
      <c r="E47" s="92">
        <f t="shared" si="8"/>
        <v>6.4728346368638396</v>
      </c>
      <c r="F47" s="98">
        <f t="shared" si="9"/>
        <v>1942788.8917464444</v>
      </c>
      <c r="G47" s="26"/>
      <c r="H47" s="97">
        <v>234017.013951934</v>
      </c>
      <c r="I47" s="92">
        <f t="shared" si="10"/>
        <v>0.83115704108541899</v>
      </c>
      <c r="J47" s="98">
        <f t="shared" si="11"/>
        <v>194504.88887993468</v>
      </c>
      <c r="K47" s="26"/>
      <c r="L47" s="97">
        <v>301737.6318260791</v>
      </c>
      <c r="M47" s="92">
        <f t="shared" si="12"/>
        <v>4.214473410275585</v>
      </c>
      <c r="N47" s="98">
        <f t="shared" si="13"/>
        <v>1271665.2262105346</v>
      </c>
      <c r="O47" s="26"/>
      <c r="P47" s="80">
        <f t="shared" si="7"/>
        <v>1466170.1150904694</v>
      </c>
      <c r="Q47" s="26"/>
    </row>
    <row r="48" spans="2:17" x14ac:dyDescent="0.2">
      <c r="B48" s="27" t="s">
        <v>61</v>
      </c>
      <c r="C48" s="26"/>
      <c r="D48" s="97">
        <v>252732.18126651132</v>
      </c>
      <c r="E48" s="92">
        <f t="shared" si="8"/>
        <v>6.4728346368638396</v>
      </c>
      <c r="F48" s="98">
        <f t="shared" si="9"/>
        <v>1635893.616752025</v>
      </c>
      <c r="G48" s="26"/>
      <c r="H48" s="97">
        <v>200651.56476410825</v>
      </c>
      <c r="I48" s="92">
        <f t="shared" si="10"/>
        <v>0.83115704108541899</v>
      </c>
      <c r="J48" s="98">
        <f t="shared" si="11"/>
        <v>166772.96085849553</v>
      </c>
      <c r="K48" s="26"/>
      <c r="L48" s="97">
        <v>255692.77859047215</v>
      </c>
      <c r="M48" s="92">
        <f t="shared" si="12"/>
        <v>4.214473410275585</v>
      </c>
      <c r="N48" s="98">
        <f t="shared" si="13"/>
        <v>1077610.4165690274</v>
      </c>
      <c r="O48" s="26"/>
      <c r="P48" s="80">
        <f t="shared" si="7"/>
        <v>1244383.3774275228</v>
      </c>
      <c r="Q48" s="26"/>
    </row>
    <row r="49" spans="2:17" x14ac:dyDescent="0.2">
      <c r="B49" s="27" t="s">
        <v>62</v>
      </c>
      <c r="C49" s="26"/>
      <c r="D49" s="97">
        <v>274758.83948321623</v>
      </c>
      <c r="E49" s="92">
        <f t="shared" si="8"/>
        <v>6.4728346368638396</v>
      </c>
      <c r="F49" s="98">
        <f t="shared" si="9"/>
        <v>1778468.532991474</v>
      </c>
      <c r="G49" s="26"/>
      <c r="H49" s="97">
        <v>222710.78519067311</v>
      </c>
      <c r="I49" s="92">
        <f t="shared" si="10"/>
        <v>0.83115704108541899</v>
      </c>
      <c r="J49" s="98">
        <f t="shared" si="11"/>
        <v>185107.63723689021</v>
      </c>
      <c r="K49" s="26"/>
      <c r="L49" s="97">
        <v>278844.36101044226</v>
      </c>
      <c r="M49" s="92">
        <f t="shared" si="12"/>
        <v>4.214473410275585</v>
      </c>
      <c r="N49" s="98">
        <f t="shared" si="13"/>
        <v>1175182.1450837948</v>
      </c>
      <c r="O49" s="26"/>
      <c r="P49" s="80">
        <f t="shared" si="7"/>
        <v>1360289.782320685</v>
      </c>
      <c r="Q49" s="26"/>
    </row>
    <row r="50" spans="2:17" x14ac:dyDescent="0.2">
      <c r="B50" s="27" t="s">
        <v>63</v>
      </c>
      <c r="C50" s="26"/>
      <c r="D50" s="97">
        <v>282853.31270147749</v>
      </c>
      <c r="E50" s="92">
        <f t="shared" si="8"/>
        <v>6.4728346368638396</v>
      </c>
      <c r="F50" s="98">
        <f t="shared" si="9"/>
        <v>1830862.7196058021</v>
      </c>
      <c r="G50" s="26"/>
      <c r="H50" s="97">
        <v>241750.63607969874</v>
      </c>
      <c r="I50" s="92">
        <f t="shared" si="10"/>
        <v>0.83115704108541899</v>
      </c>
      <c r="J50" s="98">
        <f t="shared" si="11"/>
        <v>200932.74336452034</v>
      </c>
      <c r="K50" s="26"/>
      <c r="L50" s="97">
        <v>289769.58330280118</v>
      </c>
      <c r="M50" s="92">
        <f t="shared" si="12"/>
        <v>4.214473410275585</v>
      </c>
      <c r="N50" s="98">
        <f t="shared" si="13"/>
        <v>1221226.2039362916</v>
      </c>
      <c r="O50" s="26"/>
      <c r="P50" s="80">
        <f t="shared" si="7"/>
        <v>1422158.947300812</v>
      </c>
      <c r="Q50" s="26"/>
    </row>
    <row r="51" spans="2:17" x14ac:dyDescent="0.2">
      <c r="B51" s="26"/>
      <c r="C51" s="26"/>
      <c r="D51" s="26"/>
      <c r="E51" s="26"/>
      <c r="F51" s="26"/>
      <c r="G51" s="26"/>
      <c r="H51" s="26"/>
      <c r="I51" s="26"/>
      <c r="J51" s="26"/>
      <c r="K51" s="26"/>
      <c r="L51" s="26"/>
      <c r="M51" s="26"/>
      <c r="N51" s="26"/>
      <c r="O51" s="26"/>
      <c r="P51" s="26"/>
      <c r="Q51" s="26"/>
    </row>
    <row r="52" spans="2:17" ht="13.5" thickBot="1" x14ac:dyDescent="0.25">
      <c r="B52" s="74" t="s">
        <v>3</v>
      </c>
      <c r="C52" s="26"/>
      <c r="D52" s="81">
        <f>SUM(D39:D50)</f>
        <v>3520064.7209283635</v>
      </c>
      <c r="E52" s="82">
        <f>IF(D52&lt;&gt;0,F52/D52,0)</f>
        <v>6.4728346368638388</v>
      </c>
      <c r="F52" s="83">
        <f>SUM(F39:F50)</f>
        <v>22784796.849627554</v>
      </c>
      <c r="G52" s="26"/>
      <c r="H52" s="81">
        <f>SUM(H39:H50)</f>
        <v>2937394.9696733728</v>
      </c>
      <c r="I52" s="82">
        <f>IF(H52&lt;&gt;0,J52/H52,0)</f>
        <v>0.8311570410854191</v>
      </c>
      <c r="J52" s="83">
        <f>SUM(J39:J50)</f>
        <v>2441436.511492915</v>
      </c>
      <c r="K52" s="26"/>
      <c r="L52" s="81">
        <f>SUM(L39:L50)</f>
        <v>3574043.8001062204</v>
      </c>
      <c r="M52" s="82">
        <f>IF(L52&lt;&gt;0,N52/L52,0)</f>
        <v>4.2144734102755868</v>
      </c>
      <c r="N52" s="83">
        <f>SUM(N39:N50)</f>
        <v>15062712.562707979</v>
      </c>
      <c r="O52" s="26"/>
      <c r="P52" s="83">
        <f>SUM(P39:P50)</f>
        <v>17504149.074200891</v>
      </c>
      <c r="Q52" s="26"/>
    </row>
    <row r="53" spans="2:17" x14ac:dyDescent="0.2">
      <c r="B53" s="26"/>
      <c r="C53" s="26"/>
      <c r="D53" s="26"/>
      <c r="E53" s="26"/>
      <c r="F53" s="26"/>
      <c r="G53" s="26"/>
      <c r="H53" s="26"/>
      <c r="I53" s="26"/>
      <c r="J53" s="26"/>
      <c r="K53" s="26"/>
      <c r="L53" s="26"/>
      <c r="M53" s="26"/>
      <c r="N53" s="26"/>
      <c r="O53" s="26"/>
      <c r="P53" s="26"/>
      <c r="Q53" s="26"/>
    </row>
    <row r="54" spans="2:17" x14ac:dyDescent="0.2">
      <c r="B54" s="71" t="e">
        <f>#REF!</f>
        <v>#REF!</v>
      </c>
      <c r="C54" s="72"/>
      <c r="D54" s="240" t="s">
        <v>0</v>
      </c>
      <c r="E54" s="240"/>
      <c r="F54" s="240"/>
      <c r="G54" s="72"/>
      <c r="H54" s="240" t="s">
        <v>1</v>
      </c>
      <c r="I54" s="240"/>
      <c r="J54" s="240"/>
      <c r="K54" s="72"/>
      <c r="L54" s="240" t="s">
        <v>2</v>
      </c>
      <c r="M54" s="240"/>
      <c r="N54" s="240"/>
      <c r="O54" s="72"/>
      <c r="P54" s="71" t="s">
        <v>48</v>
      </c>
      <c r="Q54" s="26"/>
    </row>
    <row r="55" spans="2:17" x14ac:dyDescent="0.2">
      <c r="B55" s="74"/>
      <c r="C55" s="26"/>
      <c r="D55" s="90"/>
      <c r="E55" s="90"/>
      <c r="F55" s="90"/>
      <c r="G55" s="26"/>
      <c r="H55" s="90"/>
      <c r="I55" s="90"/>
      <c r="J55" s="90"/>
      <c r="K55" s="26"/>
      <c r="L55" s="90"/>
      <c r="M55" s="90"/>
      <c r="N55" s="90"/>
      <c r="O55" s="26"/>
      <c r="P55" s="90"/>
      <c r="Q55" s="26"/>
    </row>
    <row r="56" spans="2:17" x14ac:dyDescent="0.2">
      <c r="B56" s="74" t="s">
        <v>49</v>
      </c>
      <c r="C56" s="26"/>
      <c r="D56" s="90" t="s">
        <v>50</v>
      </c>
      <c r="E56" s="90" t="s">
        <v>9</v>
      </c>
      <c r="F56" s="90" t="s">
        <v>51</v>
      </c>
      <c r="G56" s="26"/>
      <c r="H56" s="90" t="s">
        <v>50</v>
      </c>
      <c r="I56" s="90" t="s">
        <v>9</v>
      </c>
      <c r="J56" s="90" t="s">
        <v>51</v>
      </c>
      <c r="K56" s="26"/>
      <c r="L56" s="90" t="s">
        <v>50</v>
      </c>
      <c r="M56" s="90" t="s">
        <v>9</v>
      </c>
      <c r="N56" s="90" t="s">
        <v>51</v>
      </c>
      <c r="O56" s="26"/>
      <c r="P56" s="90" t="s">
        <v>51</v>
      </c>
      <c r="Q56" s="26"/>
    </row>
    <row r="57" spans="2:17" x14ac:dyDescent="0.2">
      <c r="B57" s="26"/>
      <c r="C57" s="26"/>
      <c r="D57" s="26"/>
      <c r="E57" s="26"/>
      <c r="F57" s="26"/>
      <c r="G57" s="26"/>
      <c r="H57" s="26"/>
      <c r="I57" s="26"/>
      <c r="J57" s="26"/>
      <c r="K57" s="26"/>
      <c r="L57" s="26"/>
      <c r="M57" s="26"/>
      <c r="N57" s="26"/>
      <c r="O57" s="26"/>
      <c r="P57" s="26"/>
      <c r="Q57" s="26"/>
    </row>
    <row r="58" spans="2:17" x14ac:dyDescent="0.2">
      <c r="B58" s="27" t="s">
        <v>52</v>
      </c>
      <c r="C58" s="26"/>
      <c r="D58" s="97"/>
      <c r="E58" s="92"/>
      <c r="F58" s="98"/>
      <c r="G58" s="26"/>
      <c r="H58" s="97"/>
      <c r="I58" s="92"/>
      <c r="J58" s="98"/>
      <c r="K58" s="26"/>
      <c r="L58" s="97"/>
      <c r="M58" s="92"/>
      <c r="N58" s="98"/>
      <c r="O58" s="26"/>
      <c r="P58" s="80"/>
      <c r="Q58" s="26"/>
    </row>
    <row r="59" spans="2:17" x14ac:dyDescent="0.2">
      <c r="B59" s="27" t="s">
        <v>53</v>
      </c>
      <c r="C59" s="26"/>
      <c r="D59" s="97"/>
      <c r="E59" s="92"/>
      <c r="F59" s="98"/>
      <c r="G59" s="26"/>
      <c r="H59" s="97"/>
      <c r="I59" s="92"/>
      <c r="J59" s="98"/>
      <c r="K59" s="26"/>
      <c r="L59" s="97"/>
      <c r="M59" s="92"/>
      <c r="N59" s="98"/>
      <c r="O59" s="26"/>
      <c r="P59" s="80"/>
      <c r="Q59" s="26"/>
    </row>
    <row r="60" spans="2:17" x14ac:dyDescent="0.2">
      <c r="B60" s="27" t="s">
        <v>54</v>
      </c>
      <c r="C60" s="26"/>
      <c r="D60" s="97"/>
      <c r="E60" s="92"/>
      <c r="F60" s="98"/>
      <c r="G60" s="26"/>
      <c r="H60" s="97"/>
      <c r="I60" s="92"/>
      <c r="J60" s="98"/>
      <c r="K60" s="26"/>
      <c r="L60" s="97"/>
      <c r="M60" s="92"/>
      <c r="N60" s="98"/>
      <c r="O60" s="26"/>
      <c r="P60" s="80"/>
      <c r="Q60" s="26"/>
    </row>
    <row r="61" spans="2:17" x14ac:dyDescent="0.2">
      <c r="B61" s="27" t="s">
        <v>55</v>
      </c>
      <c r="C61" s="26"/>
      <c r="D61" s="97"/>
      <c r="E61" s="92"/>
      <c r="F61" s="98"/>
      <c r="G61" s="26"/>
      <c r="H61" s="97"/>
      <c r="I61" s="92"/>
      <c r="J61" s="98"/>
      <c r="K61" s="26"/>
      <c r="L61" s="97"/>
      <c r="M61" s="92"/>
      <c r="N61" s="98"/>
      <c r="O61" s="26"/>
      <c r="P61" s="80"/>
      <c r="Q61" s="26"/>
    </row>
    <row r="62" spans="2:17" x14ac:dyDescent="0.2">
      <c r="B62" s="27" t="s">
        <v>56</v>
      </c>
      <c r="C62" s="26"/>
      <c r="D62" s="97"/>
      <c r="E62" s="92"/>
      <c r="F62" s="98"/>
      <c r="G62" s="26"/>
      <c r="H62" s="97"/>
      <c r="I62" s="92"/>
      <c r="J62" s="98"/>
      <c r="K62" s="26"/>
      <c r="L62" s="97"/>
      <c r="M62" s="92"/>
      <c r="N62" s="98"/>
      <c r="O62" s="26"/>
      <c r="P62" s="80"/>
      <c r="Q62" s="26"/>
    </row>
    <row r="63" spans="2:17" x14ac:dyDescent="0.2">
      <c r="B63" s="27" t="s">
        <v>57</v>
      </c>
      <c r="C63" s="26"/>
      <c r="D63" s="97"/>
      <c r="E63" s="92"/>
      <c r="F63" s="98"/>
      <c r="G63" s="26"/>
      <c r="H63" s="97"/>
      <c r="I63" s="92"/>
      <c r="J63" s="98"/>
      <c r="K63" s="26"/>
      <c r="L63" s="97"/>
      <c r="M63" s="92"/>
      <c r="N63" s="98"/>
      <c r="O63" s="26"/>
      <c r="P63" s="80"/>
      <c r="Q63" s="26"/>
    </row>
    <row r="64" spans="2:17" x14ac:dyDescent="0.2">
      <c r="B64" s="27" t="s">
        <v>58</v>
      </c>
      <c r="C64" s="26"/>
      <c r="D64" s="97"/>
      <c r="E64" s="92"/>
      <c r="F64" s="98"/>
      <c r="G64" s="26"/>
      <c r="H64" s="97"/>
      <c r="I64" s="92"/>
      <c r="J64" s="98"/>
      <c r="K64" s="26"/>
      <c r="L64" s="97"/>
      <c r="M64" s="92"/>
      <c r="N64" s="98"/>
      <c r="O64" s="26"/>
      <c r="P64" s="80"/>
      <c r="Q64" s="26"/>
    </row>
    <row r="65" spans="2:17" x14ac:dyDescent="0.2">
      <c r="B65" s="27" t="s">
        <v>59</v>
      </c>
      <c r="C65" s="26"/>
      <c r="D65" s="97"/>
      <c r="E65" s="92"/>
      <c r="F65" s="98"/>
      <c r="G65" s="26"/>
      <c r="H65" s="97"/>
      <c r="I65" s="92"/>
      <c r="J65" s="98"/>
      <c r="K65" s="26"/>
      <c r="L65" s="97"/>
      <c r="M65" s="92"/>
      <c r="N65" s="98"/>
      <c r="O65" s="26"/>
      <c r="P65" s="80"/>
      <c r="Q65" s="26"/>
    </row>
    <row r="66" spans="2:17" x14ac:dyDescent="0.2">
      <c r="B66" s="27" t="s">
        <v>60</v>
      </c>
      <c r="C66" s="26"/>
      <c r="D66" s="97"/>
      <c r="E66" s="92"/>
      <c r="F66" s="98"/>
      <c r="G66" s="26"/>
      <c r="H66" s="97"/>
      <c r="I66" s="92"/>
      <c r="J66" s="98"/>
      <c r="K66" s="26"/>
      <c r="L66" s="97"/>
      <c r="M66" s="92"/>
      <c r="N66" s="98"/>
      <c r="O66" s="26"/>
      <c r="P66" s="80"/>
      <c r="Q66" s="26"/>
    </row>
    <row r="67" spans="2:17" x14ac:dyDescent="0.2">
      <c r="B67" s="27" t="s">
        <v>61</v>
      </c>
      <c r="C67" s="26"/>
      <c r="D67" s="97"/>
      <c r="E67" s="92"/>
      <c r="F67" s="98"/>
      <c r="G67" s="26"/>
      <c r="H67" s="97"/>
      <c r="I67" s="92"/>
      <c r="J67" s="98"/>
      <c r="K67" s="26"/>
      <c r="L67" s="97"/>
      <c r="M67" s="92"/>
      <c r="N67" s="98"/>
      <c r="O67" s="26"/>
      <c r="P67" s="80"/>
      <c r="Q67" s="26"/>
    </row>
    <row r="68" spans="2:17" x14ac:dyDescent="0.2">
      <c r="B68" s="27" t="s">
        <v>62</v>
      </c>
      <c r="C68" s="26"/>
      <c r="D68" s="97"/>
      <c r="E68" s="92"/>
      <c r="F68" s="98"/>
      <c r="G68" s="26"/>
      <c r="H68" s="97"/>
      <c r="I68" s="92"/>
      <c r="J68" s="98"/>
      <c r="K68" s="26"/>
      <c r="L68" s="97"/>
      <c r="M68" s="92"/>
      <c r="N68" s="98"/>
      <c r="O68" s="26"/>
      <c r="P68" s="80"/>
      <c r="Q68" s="26"/>
    </row>
    <row r="69" spans="2:17" x14ac:dyDescent="0.2">
      <c r="B69" s="27" t="s">
        <v>63</v>
      </c>
      <c r="C69" s="26"/>
      <c r="D69" s="97"/>
      <c r="E69" s="92"/>
      <c r="F69" s="98"/>
      <c r="G69" s="26"/>
      <c r="H69" s="97"/>
      <c r="I69" s="92"/>
      <c r="J69" s="98"/>
      <c r="K69" s="26"/>
      <c r="L69" s="97"/>
      <c r="M69" s="92"/>
      <c r="N69" s="98"/>
      <c r="O69" s="26"/>
      <c r="P69" s="80"/>
      <c r="Q69" s="26"/>
    </row>
    <row r="70" spans="2:17" x14ac:dyDescent="0.2">
      <c r="B70" s="26"/>
      <c r="C70" s="26"/>
      <c r="D70" s="26"/>
      <c r="E70" s="26"/>
      <c r="F70" s="26"/>
      <c r="G70" s="26"/>
      <c r="H70" s="26"/>
      <c r="I70" s="26"/>
      <c r="J70" s="26"/>
      <c r="K70" s="26"/>
      <c r="L70" s="26"/>
      <c r="M70" s="26"/>
      <c r="N70" s="26"/>
      <c r="O70" s="26"/>
      <c r="P70" s="26"/>
      <c r="Q70" s="26"/>
    </row>
    <row r="71" spans="2:17" ht="13.5" thickBot="1" x14ac:dyDescent="0.25">
      <c r="B71" s="74" t="s">
        <v>3</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x14ac:dyDescent="0.2">
      <c r="B72" s="26"/>
      <c r="C72" s="26"/>
      <c r="D72" s="26"/>
      <c r="E72" s="26"/>
      <c r="F72" s="26"/>
      <c r="G72" s="26"/>
      <c r="H72" s="26"/>
      <c r="I72" s="26"/>
      <c r="J72" s="26"/>
      <c r="K72" s="26"/>
      <c r="L72" s="26"/>
      <c r="M72" s="26"/>
      <c r="N72" s="26"/>
      <c r="O72" s="26"/>
      <c r="P72" s="26"/>
      <c r="Q72" s="26"/>
    </row>
    <row r="73" spans="2:17" x14ac:dyDescent="0.2">
      <c r="B73" s="71" t="e">
        <f>#REF!</f>
        <v>#REF!</v>
      </c>
      <c r="C73" s="72"/>
      <c r="D73" s="240" t="s">
        <v>0</v>
      </c>
      <c r="E73" s="240"/>
      <c r="F73" s="240"/>
      <c r="G73" s="72"/>
      <c r="H73" s="240" t="s">
        <v>1</v>
      </c>
      <c r="I73" s="240"/>
      <c r="J73" s="240"/>
      <c r="K73" s="72"/>
      <c r="L73" s="240" t="s">
        <v>2</v>
      </c>
      <c r="M73" s="240"/>
      <c r="N73" s="240"/>
      <c r="O73" s="72"/>
      <c r="P73" s="71" t="s">
        <v>48</v>
      </c>
      <c r="Q73" s="26"/>
    </row>
    <row r="74" spans="2:17" x14ac:dyDescent="0.2">
      <c r="B74" s="74"/>
      <c r="C74" s="26"/>
      <c r="D74" s="90"/>
      <c r="E74" s="90"/>
      <c r="F74" s="90"/>
      <c r="G74" s="26"/>
      <c r="H74" s="90"/>
      <c r="I74" s="90"/>
      <c r="J74" s="90"/>
      <c r="K74" s="26"/>
      <c r="L74" s="90"/>
      <c r="M74" s="90"/>
      <c r="N74" s="90"/>
      <c r="O74" s="26"/>
      <c r="P74" s="90"/>
      <c r="Q74" s="26"/>
    </row>
    <row r="75" spans="2:17" x14ac:dyDescent="0.2">
      <c r="B75" s="74" t="s">
        <v>49</v>
      </c>
      <c r="C75" s="26"/>
      <c r="D75" s="90" t="s">
        <v>50</v>
      </c>
      <c r="E75" s="90" t="s">
        <v>9</v>
      </c>
      <c r="F75" s="90" t="s">
        <v>51</v>
      </c>
      <c r="G75" s="26"/>
      <c r="H75" s="90" t="s">
        <v>50</v>
      </c>
      <c r="I75" s="90" t="s">
        <v>9</v>
      </c>
      <c r="J75" s="90" t="s">
        <v>51</v>
      </c>
      <c r="K75" s="26"/>
      <c r="L75" s="90" t="s">
        <v>50</v>
      </c>
      <c r="M75" s="90" t="s">
        <v>9</v>
      </c>
      <c r="N75" s="90" t="s">
        <v>51</v>
      </c>
      <c r="O75" s="26"/>
      <c r="P75" s="90" t="s">
        <v>51</v>
      </c>
      <c r="Q75" s="26"/>
    </row>
    <row r="76" spans="2:17" x14ac:dyDescent="0.2">
      <c r="B76" s="26"/>
      <c r="C76" s="26"/>
      <c r="D76" s="26"/>
      <c r="E76" s="26"/>
      <c r="F76" s="26"/>
      <c r="G76" s="26"/>
      <c r="H76" s="26"/>
      <c r="I76" s="26"/>
      <c r="J76" s="26"/>
      <c r="K76" s="26"/>
      <c r="L76" s="26"/>
      <c r="M76" s="26"/>
      <c r="N76" s="26"/>
      <c r="O76" s="26"/>
      <c r="P76" s="26"/>
      <c r="Q76" s="26"/>
    </row>
    <row r="77" spans="2:17" x14ac:dyDescent="0.2">
      <c r="B77" s="27" t="s">
        <v>52</v>
      </c>
      <c r="C77" s="26"/>
      <c r="D77" s="97"/>
      <c r="E77" s="92"/>
      <c r="F77" s="98"/>
      <c r="G77" s="26"/>
      <c r="H77" s="97"/>
      <c r="I77" s="92"/>
      <c r="J77" s="98"/>
      <c r="K77" s="26"/>
      <c r="L77" s="97"/>
      <c r="M77" s="92"/>
      <c r="N77" s="98"/>
      <c r="O77" s="26"/>
      <c r="P77" s="80"/>
      <c r="Q77" s="26"/>
    </row>
    <row r="78" spans="2:17" x14ac:dyDescent="0.2">
      <c r="B78" s="27" t="s">
        <v>53</v>
      </c>
      <c r="C78" s="26"/>
      <c r="D78" s="97"/>
      <c r="E78" s="92"/>
      <c r="F78" s="98"/>
      <c r="G78" s="26"/>
      <c r="H78" s="97"/>
      <c r="I78" s="92"/>
      <c r="J78" s="98"/>
      <c r="K78" s="26"/>
      <c r="L78" s="97"/>
      <c r="M78" s="92"/>
      <c r="N78" s="98"/>
      <c r="O78" s="26"/>
      <c r="P78" s="80"/>
      <c r="Q78" s="26"/>
    </row>
    <row r="79" spans="2:17" x14ac:dyDescent="0.2">
      <c r="B79" s="27" t="s">
        <v>54</v>
      </c>
      <c r="C79" s="26"/>
      <c r="D79" s="97"/>
      <c r="E79" s="92"/>
      <c r="F79" s="98"/>
      <c r="G79" s="26"/>
      <c r="H79" s="97"/>
      <c r="I79" s="92"/>
      <c r="J79" s="98"/>
      <c r="K79" s="26"/>
      <c r="L79" s="97"/>
      <c r="M79" s="92"/>
      <c r="N79" s="98"/>
      <c r="O79" s="26"/>
      <c r="P79" s="80"/>
      <c r="Q79" s="26"/>
    </row>
    <row r="80" spans="2:17" x14ac:dyDescent="0.2">
      <c r="B80" s="27" t="s">
        <v>55</v>
      </c>
      <c r="C80" s="26"/>
      <c r="D80" s="97"/>
      <c r="E80" s="92"/>
      <c r="F80" s="98"/>
      <c r="G80" s="26"/>
      <c r="H80" s="97"/>
      <c r="I80" s="92"/>
      <c r="J80" s="98"/>
      <c r="K80" s="26"/>
      <c r="L80" s="97"/>
      <c r="M80" s="92"/>
      <c r="N80" s="98"/>
      <c r="O80" s="26"/>
      <c r="P80" s="80"/>
      <c r="Q80" s="26"/>
    </row>
    <row r="81" spans="2:17" x14ac:dyDescent="0.2">
      <c r="B81" s="27" t="s">
        <v>56</v>
      </c>
      <c r="C81" s="26"/>
      <c r="D81" s="97"/>
      <c r="E81" s="92"/>
      <c r="F81" s="98"/>
      <c r="G81" s="26"/>
      <c r="H81" s="97"/>
      <c r="I81" s="92"/>
      <c r="J81" s="98"/>
      <c r="K81" s="26"/>
      <c r="L81" s="97"/>
      <c r="M81" s="92"/>
      <c r="N81" s="98"/>
      <c r="O81" s="26"/>
      <c r="P81" s="80"/>
      <c r="Q81" s="26"/>
    </row>
    <row r="82" spans="2:17" x14ac:dyDescent="0.2">
      <c r="B82" s="27" t="s">
        <v>57</v>
      </c>
      <c r="C82" s="26"/>
      <c r="D82" s="97"/>
      <c r="E82" s="92"/>
      <c r="F82" s="98"/>
      <c r="G82" s="26"/>
      <c r="H82" s="97"/>
      <c r="I82" s="92"/>
      <c r="J82" s="98"/>
      <c r="K82" s="26"/>
      <c r="L82" s="97"/>
      <c r="M82" s="92"/>
      <c r="N82" s="98"/>
      <c r="O82" s="26"/>
      <c r="P82" s="80"/>
      <c r="Q82" s="26"/>
    </row>
    <row r="83" spans="2:17" x14ac:dyDescent="0.2">
      <c r="B83" s="27" t="s">
        <v>58</v>
      </c>
      <c r="C83" s="26"/>
      <c r="D83" s="97"/>
      <c r="E83" s="92"/>
      <c r="F83" s="98"/>
      <c r="G83" s="26"/>
      <c r="H83" s="97"/>
      <c r="I83" s="92"/>
      <c r="J83" s="98"/>
      <c r="K83" s="26"/>
      <c r="L83" s="97"/>
      <c r="M83" s="92"/>
      <c r="N83" s="98"/>
      <c r="O83" s="26"/>
      <c r="P83" s="80"/>
      <c r="Q83" s="26"/>
    </row>
    <row r="84" spans="2:17" x14ac:dyDescent="0.2">
      <c r="B84" s="27" t="s">
        <v>59</v>
      </c>
      <c r="C84" s="26"/>
      <c r="D84" s="97"/>
      <c r="E84" s="92"/>
      <c r="F84" s="98"/>
      <c r="G84" s="26"/>
      <c r="H84" s="97"/>
      <c r="I84" s="92"/>
      <c r="J84" s="98"/>
      <c r="K84" s="26"/>
      <c r="L84" s="97"/>
      <c r="M84" s="92"/>
      <c r="N84" s="98"/>
      <c r="O84" s="26"/>
      <c r="P84" s="80"/>
      <c r="Q84" s="26"/>
    </row>
    <row r="85" spans="2:17" x14ac:dyDescent="0.2">
      <c r="B85" s="27" t="s">
        <v>60</v>
      </c>
      <c r="C85" s="26"/>
      <c r="D85" s="97"/>
      <c r="E85" s="92"/>
      <c r="F85" s="98"/>
      <c r="G85" s="26"/>
      <c r="H85" s="97"/>
      <c r="I85" s="92"/>
      <c r="J85" s="98"/>
      <c r="K85" s="26"/>
      <c r="L85" s="97"/>
      <c r="M85" s="92"/>
      <c r="N85" s="98"/>
      <c r="O85" s="26"/>
      <c r="P85" s="80"/>
      <c r="Q85" s="26"/>
    </row>
    <row r="86" spans="2:17" x14ac:dyDescent="0.2">
      <c r="B86" s="27" t="s">
        <v>61</v>
      </c>
      <c r="C86" s="26"/>
      <c r="D86" s="97"/>
      <c r="E86" s="92"/>
      <c r="F86" s="98"/>
      <c r="G86" s="26"/>
      <c r="H86" s="97"/>
      <c r="I86" s="92"/>
      <c r="J86" s="98"/>
      <c r="K86" s="26"/>
      <c r="L86" s="97"/>
      <c r="M86" s="92"/>
      <c r="N86" s="98"/>
      <c r="O86" s="26"/>
      <c r="P86" s="80"/>
      <c r="Q86" s="26"/>
    </row>
    <row r="87" spans="2:17" x14ac:dyDescent="0.2">
      <c r="B87" s="27" t="s">
        <v>62</v>
      </c>
      <c r="C87" s="26"/>
      <c r="D87" s="97"/>
      <c r="E87" s="92"/>
      <c r="F87" s="98"/>
      <c r="G87" s="26"/>
      <c r="H87" s="97"/>
      <c r="I87" s="92"/>
      <c r="J87" s="98"/>
      <c r="K87" s="26"/>
      <c r="L87" s="97"/>
      <c r="M87" s="92"/>
      <c r="N87" s="98"/>
      <c r="O87" s="26"/>
      <c r="P87" s="80"/>
      <c r="Q87" s="26"/>
    </row>
    <row r="88" spans="2:17" x14ac:dyDescent="0.2">
      <c r="B88" s="27" t="s">
        <v>63</v>
      </c>
      <c r="C88" s="26"/>
      <c r="D88" s="97"/>
      <c r="E88" s="92"/>
      <c r="F88" s="98"/>
      <c r="G88" s="26"/>
      <c r="H88" s="97"/>
      <c r="I88" s="92"/>
      <c r="J88" s="98"/>
      <c r="K88" s="26"/>
      <c r="L88" s="97"/>
      <c r="M88" s="92"/>
      <c r="N88" s="98"/>
      <c r="O88" s="26"/>
      <c r="P88" s="80"/>
      <c r="Q88" s="26"/>
    </row>
    <row r="89" spans="2:17" x14ac:dyDescent="0.2">
      <c r="B89" s="26"/>
      <c r="C89" s="26"/>
      <c r="D89" s="26"/>
      <c r="E89" s="26"/>
      <c r="F89" s="26"/>
      <c r="G89" s="26"/>
      <c r="H89" s="26"/>
      <c r="I89" s="26"/>
      <c r="J89" s="26"/>
      <c r="K89" s="26"/>
      <c r="L89" s="26"/>
      <c r="M89" s="26"/>
      <c r="N89" s="26"/>
      <c r="O89" s="26"/>
      <c r="P89" s="26"/>
      <c r="Q89" s="26"/>
    </row>
    <row r="90" spans="2:17" ht="13.5" thickBot="1" x14ac:dyDescent="0.25">
      <c r="B90" s="74" t="s">
        <v>3</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x14ac:dyDescent="0.2">
      <c r="B91" s="26"/>
      <c r="C91" s="26"/>
      <c r="D91" s="26"/>
      <c r="E91" s="26"/>
      <c r="F91" s="26"/>
      <c r="G91" s="26"/>
      <c r="H91" s="26"/>
      <c r="I91" s="26"/>
      <c r="J91" s="26"/>
      <c r="K91" s="26"/>
      <c r="L91" s="26"/>
      <c r="M91" s="26"/>
      <c r="N91" s="26"/>
      <c r="O91" s="26"/>
      <c r="P91" s="26"/>
      <c r="Q91" s="26"/>
    </row>
    <row r="92" spans="2:17" x14ac:dyDescent="0.2">
      <c r="B92" s="71" t="s">
        <v>3</v>
      </c>
      <c r="C92" s="72"/>
      <c r="D92" s="240" t="s">
        <v>0</v>
      </c>
      <c r="E92" s="240"/>
      <c r="F92" s="240"/>
      <c r="G92" s="72"/>
      <c r="H92" s="240" t="s">
        <v>1</v>
      </c>
      <c r="I92" s="240"/>
      <c r="J92" s="240"/>
      <c r="K92" s="72"/>
      <c r="L92" s="240" t="s">
        <v>2</v>
      </c>
      <c r="M92" s="240"/>
      <c r="N92" s="240"/>
      <c r="O92" s="72"/>
      <c r="P92" s="71" t="s">
        <v>48</v>
      </c>
      <c r="Q92" s="26"/>
    </row>
    <row r="93" spans="2:17" x14ac:dyDescent="0.2">
      <c r="B93" s="26"/>
      <c r="C93" s="26"/>
      <c r="D93" s="241"/>
      <c r="E93" s="241"/>
      <c r="F93" s="241"/>
      <c r="G93" s="26"/>
      <c r="H93" s="241"/>
      <c r="I93" s="241"/>
      <c r="J93" s="241"/>
      <c r="K93" s="26"/>
      <c r="L93" s="241"/>
      <c r="M93" s="241"/>
      <c r="N93" s="241"/>
      <c r="O93" s="26"/>
      <c r="P93" s="90"/>
      <c r="Q93" s="26"/>
    </row>
    <row r="94" spans="2:17" x14ac:dyDescent="0.2">
      <c r="B94" s="74" t="s">
        <v>49</v>
      </c>
      <c r="C94" s="26"/>
      <c r="D94" s="90" t="s">
        <v>50</v>
      </c>
      <c r="E94" s="90" t="s">
        <v>9</v>
      </c>
      <c r="F94" s="90" t="s">
        <v>51</v>
      </c>
      <c r="G94" s="26"/>
      <c r="H94" s="90" t="s">
        <v>50</v>
      </c>
      <c r="I94" s="90" t="s">
        <v>9</v>
      </c>
      <c r="J94" s="90" t="s">
        <v>51</v>
      </c>
      <c r="K94" s="26"/>
      <c r="L94" s="90" t="s">
        <v>50</v>
      </c>
      <c r="M94" s="90" t="s">
        <v>9</v>
      </c>
      <c r="N94" s="90" t="s">
        <v>51</v>
      </c>
      <c r="O94" s="26"/>
      <c r="P94" s="90" t="s">
        <v>51</v>
      </c>
      <c r="Q94" s="26"/>
    </row>
    <row r="95" spans="2:17" x14ac:dyDescent="0.2">
      <c r="B95" s="26"/>
      <c r="C95" s="26"/>
      <c r="D95" s="26"/>
      <c r="E95" s="26"/>
      <c r="F95" s="26"/>
      <c r="G95" s="26"/>
      <c r="H95" s="26"/>
      <c r="I95" s="26"/>
      <c r="J95" s="26"/>
      <c r="K95" s="26"/>
      <c r="L95" s="26"/>
      <c r="M95" s="26"/>
      <c r="N95" s="26"/>
      <c r="O95" s="26"/>
      <c r="P95" s="26"/>
      <c r="Q95" s="26"/>
    </row>
    <row r="96" spans="2:17" x14ac:dyDescent="0.2">
      <c r="B96" s="27" t="s">
        <v>52</v>
      </c>
      <c r="C96" s="26"/>
      <c r="D96" s="91">
        <f>D20+D39+D58+D77</f>
        <v>662029.44204678817</v>
      </c>
      <c r="E96" s="92">
        <f t="shared" ref="E96:E107" si="14">IF(D96&lt;&gt;0,F96/D96,0)</f>
        <v>7.0527386992211243</v>
      </c>
      <c r="F96" s="80">
        <f>F20+F39+F58+F77</f>
        <v>4669120.6659471514</v>
      </c>
      <c r="G96" s="26"/>
      <c r="H96" s="91">
        <f>H20+H39+H58+H77</f>
        <v>463620.67531266419</v>
      </c>
      <c r="I96" s="92">
        <f t="shared" ref="I96:I107" si="15">IF(H96&lt;&gt;0,J96/H96,0)</f>
        <v>0.98184413966873973</v>
      </c>
      <c r="J96" s="80">
        <f>J20+J39+J58+J77</f>
        <v>455203.24308500288</v>
      </c>
      <c r="K96" s="26"/>
      <c r="L96" s="91">
        <f>L20+L39+L58+L77</f>
        <v>701863.03944484983</v>
      </c>
      <c r="M96" s="92">
        <f t="shared" ref="M96:M107" si="16">IF(L96&lt;&gt;0,N96/L96,0)</f>
        <v>4.1472843042415564</v>
      </c>
      <c r="N96" s="80">
        <f>N20+N39+N58+N77</f>
        <v>2910825.5672168983</v>
      </c>
      <c r="O96" s="26"/>
      <c r="P96" s="80">
        <f t="shared" ref="P96:P107" si="17">J96+N96</f>
        <v>3366028.8103019013</v>
      </c>
      <c r="Q96" s="26"/>
    </row>
    <row r="97" spans="2:17" x14ac:dyDescent="0.2">
      <c r="B97" s="27" t="s">
        <v>53</v>
      </c>
      <c r="C97" s="26"/>
      <c r="D97" s="91">
        <f t="shared" ref="D97:D107" si="18">D21+D40+D59+D78</f>
        <v>655518.23617978836</v>
      </c>
      <c r="E97" s="92">
        <f t="shared" si="14"/>
        <v>7.0474890539727637</v>
      </c>
      <c r="F97" s="80">
        <f t="shared" ref="F97:F107" si="19">F21+F40+F59+F78</f>
        <v>4619757.5941565912</v>
      </c>
      <c r="G97" s="26"/>
      <c r="H97" s="91">
        <f t="shared" ref="H97:H107" si="20">H21+H40+H59+H78</f>
        <v>449490.39304594102</v>
      </c>
      <c r="I97" s="92">
        <f t="shared" si="15"/>
        <v>0.99439659455425655</v>
      </c>
      <c r="J97" s="80">
        <f t="shared" ref="J97:J107" si="21">J21+J40+J59+J78</f>
        <v>446971.71612973802</v>
      </c>
      <c r="K97" s="26"/>
      <c r="L97" s="91">
        <f t="shared" ref="L97:L107" si="22">L21+L40+L59+L78</f>
        <v>678841.05347558064</v>
      </c>
      <c r="M97" s="92">
        <f t="shared" si="16"/>
        <v>4.146502589980269</v>
      </c>
      <c r="N97" s="80">
        <f t="shared" ref="N97:N107" si="23">N21+N40+N59+N78</f>
        <v>2814816.1864214293</v>
      </c>
      <c r="O97" s="26"/>
      <c r="P97" s="80">
        <f t="shared" si="17"/>
        <v>3261787.9025511672</v>
      </c>
      <c r="Q97" s="26"/>
    </row>
    <row r="98" spans="2:17" x14ac:dyDescent="0.2">
      <c r="B98" s="27" t="s">
        <v>54</v>
      </c>
      <c r="C98" s="26"/>
      <c r="D98" s="91">
        <f t="shared" si="18"/>
        <v>600860.77572227945</v>
      </c>
      <c r="E98" s="92">
        <f t="shared" si="14"/>
        <v>7.0895474562910268</v>
      </c>
      <c r="F98" s="80">
        <f t="shared" si="19"/>
        <v>4259830.9841069393</v>
      </c>
      <c r="G98" s="26"/>
      <c r="H98" s="91">
        <f t="shared" si="20"/>
        <v>405319.39484037674</v>
      </c>
      <c r="I98" s="92">
        <f t="shared" si="15"/>
        <v>1.0042653148553482</v>
      </c>
      <c r="J98" s="80">
        <f t="shared" si="21"/>
        <v>407048.20967635018</v>
      </c>
      <c r="K98" s="26"/>
      <c r="L98" s="91">
        <f t="shared" si="22"/>
        <v>615332.6693344115</v>
      </c>
      <c r="M98" s="92">
        <f t="shared" si="16"/>
        <v>4.1430679156653882</v>
      </c>
      <c r="N98" s="80">
        <f t="shared" si="23"/>
        <v>2549365.0397801399</v>
      </c>
      <c r="O98" s="26"/>
      <c r="P98" s="80">
        <f t="shared" si="17"/>
        <v>2956413.2494564899</v>
      </c>
      <c r="Q98" s="26"/>
    </row>
    <row r="99" spans="2:17" x14ac:dyDescent="0.2">
      <c r="B99" s="27" t="s">
        <v>55</v>
      </c>
      <c r="C99" s="26"/>
      <c r="D99" s="91">
        <f t="shared" si="18"/>
        <v>560458.3869072767</v>
      </c>
      <c r="E99" s="92">
        <f t="shared" si="14"/>
        <v>7.1161863106120551</v>
      </c>
      <c r="F99" s="80">
        <f t="shared" si="19"/>
        <v>3988326.3005772769</v>
      </c>
      <c r="G99" s="26"/>
      <c r="H99" s="91">
        <f t="shared" si="20"/>
        <v>377801.22580090316</v>
      </c>
      <c r="I99" s="92">
        <f t="shared" si="15"/>
        <v>1.0086416838602004</v>
      </c>
      <c r="J99" s="80">
        <f t="shared" si="21"/>
        <v>381066.06455627072</v>
      </c>
      <c r="K99" s="26"/>
      <c r="L99" s="91">
        <f t="shared" si="22"/>
        <v>567766.07930649095</v>
      </c>
      <c r="M99" s="92">
        <f t="shared" si="16"/>
        <v>4.140682131838469</v>
      </c>
      <c r="N99" s="80">
        <f t="shared" si="23"/>
        <v>2350938.8596483702</v>
      </c>
      <c r="O99" s="26"/>
      <c r="P99" s="80">
        <f t="shared" si="17"/>
        <v>2732004.924204641</v>
      </c>
      <c r="Q99" s="26"/>
    </row>
    <row r="100" spans="2:17" x14ac:dyDescent="0.2">
      <c r="B100" s="27" t="s">
        <v>56</v>
      </c>
      <c r="C100" s="26"/>
      <c r="D100" s="91">
        <f t="shared" si="18"/>
        <v>674600.40077350708</v>
      </c>
      <c r="E100" s="92">
        <f t="shared" si="14"/>
        <v>7.1292259877503046</v>
      </c>
      <c r="F100" s="80">
        <f t="shared" si="19"/>
        <v>4809378.7085412573</v>
      </c>
      <c r="G100" s="26"/>
      <c r="H100" s="91">
        <f t="shared" si="20"/>
        <v>455967.4686810245</v>
      </c>
      <c r="I100" s="92">
        <f t="shared" si="15"/>
        <v>1.0272261496524815</v>
      </c>
      <c r="J100" s="80">
        <f t="shared" si="21"/>
        <v>468381.70721999725</v>
      </c>
      <c r="K100" s="26"/>
      <c r="L100" s="91">
        <f t="shared" si="22"/>
        <v>689540.51492804987</v>
      </c>
      <c r="M100" s="92">
        <f t="shared" si="16"/>
        <v>4.1381413745720632</v>
      </c>
      <c r="N100" s="80">
        <f t="shared" si="23"/>
        <v>2853416.1342674885</v>
      </c>
      <c r="O100" s="26"/>
      <c r="P100" s="80">
        <f t="shared" si="17"/>
        <v>3321797.8414874859</v>
      </c>
      <c r="Q100" s="26"/>
    </row>
    <row r="101" spans="2:17" x14ac:dyDescent="0.2">
      <c r="B101" s="27" t="s">
        <v>57</v>
      </c>
      <c r="C101" s="26"/>
      <c r="D101" s="91">
        <f t="shared" si="18"/>
        <v>809663.7660970086</v>
      </c>
      <c r="E101" s="92">
        <f t="shared" si="14"/>
        <v>7.0953419401327498</v>
      </c>
      <c r="F101" s="80">
        <f t="shared" si="19"/>
        <v>5744841.2769939378</v>
      </c>
      <c r="G101" s="26"/>
      <c r="H101" s="91">
        <f t="shared" si="20"/>
        <v>593461.47420963168</v>
      </c>
      <c r="I101" s="92">
        <f t="shared" si="15"/>
        <v>1.0190690453037643</v>
      </c>
      <c r="J101" s="80">
        <f t="shared" si="21"/>
        <v>604778.21794737387</v>
      </c>
      <c r="K101" s="26"/>
      <c r="L101" s="91">
        <f t="shared" si="22"/>
        <v>850684.63088185282</v>
      </c>
      <c r="M101" s="92">
        <f t="shared" si="16"/>
        <v>4.1406066505630932</v>
      </c>
      <c r="N101" s="80">
        <f t="shared" si="23"/>
        <v>3522350.44016121</v>
      </c>
      <c r="O101" s="26"/>
      <c r="P101" s="80">
        <f t="shared" si="17"/>
        <v>4127128.6581085837</v>
      </c>
      <c r="Q101" s="26"/>
    </row>
    <row r="102" spans="2:17" x14ac:dyDescent="0.2">
      <c r="B102" s="27" t="s">
        <v>58</v>
      </c>
      <c r="C102" s="26"/>
      <c r="D102" s="91">
        <f t="shared" si="18"/>
        <v>835775.46513344767</v>
      </c>
      <c r="E102" s="92">
        <f t="shared" si="14"/>
        <v>7.1325956574336651</v>
      </c>
      <c r="F102" s="80">
        <f t="shared" si="19"/>
        <v>5961248.4532004306</v>
      </c>
      <c r="G102" s="26"/>
      <c r="H102" s="91">
        <f t="shared" si="20"/>
        <v>584630.59145021206</v>
      </c>
      <c r="I102" s="92">
        <f t="shared" si="15"/>
        <v>1.0309323468390261</v>
      </c>
      <c r="J102" s="80">
        <f t="shared" si="21"/>
        <v>602714.58767765504</v>
      </c>
      <c r="K102" s="26"/>
      <c r="L102" s="91">
        <f t="shared" si="22"/>
        <v>849676.41559034213</v>
      </c>
      <c r="M102" s="92">
        <f t="shared" si="16"/>
        <v>4.1377452379535349</v>
      </c>
      <c r="N102" s="80">
        <f t="shared" si="23"/>
        <v>3515744.5424103672</v>
      </c>
      <c r="O102" s="26"/>
      <c r="P102" s="80">
        <f t="shared" si="17"/>
        <v>4118459.130088022</v>
      </c>
      <c r="Q102" s="26"/>
    </row>
    <row r="103" spans="2:17" x14ac:dyDescent="0.2">
      <c r="B103" s="27" t="s">
        <v>59</v>
      </c>
      <c r="C103" s="26"/>
      <c r="D103" s="91">
        <f t="shared" si="18"/>
        <v>852925.35729145585</v>
      </c>
      <c r="E103" s="92">
        <f t="shared" si="14"/>
        <v>7.1014666954408696</v>
      </c>
      <c r="F103" s="80">
        <f t="shared" si="19"/>
        <v>6057021.0185022783</v>
      </c>
      <c r="G103" s="26"/>
      <c r="H103" s="91">
        <f t="shared" si="20"/>
        <v>568059.94037438277</v>
      </c>
      <c r="I103" s="92">
        <f t="shared" si="15"/>
        <v>1.0305310875087677</v>
      </c>
      <c r="J103" s="80">
        <f t="shared" si="21"/>
        <v>585403.42812417843</v>
      </c>
      <c r="K103" s="26"/>
      <c r="L103" s="91">
        <f t="shared" si="22"/>
        <v>875648.76668124716</v>
      </c>
      <c r="M103" s="92">
        <f t="shared" si="16"/>
        <v>4.1411954523432311</v>
      </c>
      <c r="N103" s="80">
        <f t="shared" si="23"/>
        <v>3626232.6904303394</v>
      </c>
      <c r="O103" s="26"/>
      <c r="P103" s="80">
        <f t="shared" si="17"/>
        <v>4211636.1185545176</v>
      </c>
      <c r="Q103" s="26"/>
    </row>
    <row r="104" spans="2:17" x14ac:dyDescent="0.2">
      <c r="B104" s="27" t="s">
        <v>60</v>
      </c>
      <c r="C104" s="26"/>
      <c r="D104" s="91">
        <f t="shared" si="18"/>
        <v>728738.06764198712</v>
      </c>
      <c r="E104" s="92">
        <f t="shared" si="14"/>
        <v>7.1124625154757002</v>
      </c>
      <c r="F104" s="80">
        <f t="shared" si="19"/>
        <v>5183122.1897038287</v>
      </c>
      <c r="G104" s="26"/>
      <c r="H104" s="91">
        <f t="shared" si="20"/>
        <v>475412.29274104221</v>
      </c>
      <c r="I104" s="92">
        <f t="shared" si="15"/>
        <v>1.0253594055701216</v>
      </c>
      <c r="J104" s="80">
        <f t="shared" si="21"/>
        <v>487468.46588568372</v>
      </c>
      <c r="K104" s="26"/>
      <c r="L104" s="91">
        <f t="shared" si="22"/>
        <v>731472.96135314042</v>
      </c>
      <c r="M104" s="92">
        <f t="shared" si="16"/>
        <v>4.140811726439626</v>
      </c>
      <c r="N104" s="80">
        <f t="shared" si="23"/>
        <v>3028891.8159446032</v>
      </c>
      <c r="O104" s="26"/>
      <c r="P104" s="80">
        <f t="shared" si="17"/>
        <v>3516360.2818302871</v>
      </c>
      <c r="Q104" s="26"/>
    </row>
    <row r="105" spans="2:17" x14ac:dyDescent="0.2">
      <c r="B105" s="27" t="s">
        <v>61</v>
      </c>
      <c r="C105" s="26"/>
      <c r="D105" s="91">
        <f t="shared" si="18"/>
        <v>603758.52626439824</v>
      </c>
      <c r="E105" s="92">
        <f t="shared" si="14"/>
        <v>7.1051447453108887</v>
      </c>
      <c r="F105" s="80">
        <f t="shared" si="19"/>
        <v>4289791.7203241354</v>
      </c>
      <c r="G105" s="26"/>
      <c r="H105" s="91">
        <f t="shared" si="20"/>
        <v>453196.96827922988</v>
      </c>
      <c r="I105" s="92">
        <f t="shared" si="15"/>
        <v>1.0442890218089311</v>
      </c>
      <c r="J105" s="80">
        <f t="shared" si="21"/>
        <v>473268.61869109015</v>
      </c>
      <c r="K105" s="26"/>
      <c r="L105" s="91">
        <f t="shared" si="22"/>
        <v>623514.12771785213</v>
      </c>
      <c r="M105" s="92">
        <f t="shared" si="16"/>
        <v>4.1405078596494667</v>
      </c>
      <c r="N105" s="80">
        <f t="shared" si="23"/>
        <v>2581665.1464182483</v>
      </c>
      <c r="O105" s="26"/>
      <c r="P105" s="80">
        <f t="shared" si="17"/>
        <v>3054933.7651093383</v>
      </c>
      <c r="Q105" s="26"/>
    </row>
    <row r="106" spans="2:17" x14ac:dyDescent="0.2">
      <c r="B106" s="27" t="s">
        <v>62</v>
      </c>
      <c r="C106" s="26"/>
      <c r="D106" s="91">
        <f t="shared" si="18"/>
        <v>612640.12366420066</v>
      </c>
      <c r="E106" s="92">
        <f t="shared" si="14"/>
        <v>7.072642823471269</v>
      </c>
      <c r="F106" s="80">
        <f t="shared" si="19"/>
        <v>4332984.7740041595</v>
      </c>
      <c r="G106" s="26"/>
      <c r="H106" s="91">
        <f t="shared" si="20"/>
        <v>414683.61111651035</v>
      </c>
      <c r="I106" s="92">
        <f t="shared" si="15"/>
        <v>1.0082164600279861</v>
      </c>
      <c r="J106" s="80">
        <f t="shared" si="21"/>
        <v>418090.8424315101</v>
      </c>
      <c r="K106" s="26"/>
      <c r="L106" s="91">
        <f t="shared" si="22"/>
        <v>595813.72475732781</v>
      </c>
      <c r="M106" s="92">
        <f t="shared" si="16"/>
        <v>4.1477703675888318</v>
      </c>
      <c r="N106" s="80">
        <f t="shared" si="23"/>
        <v>2471298.5121511729</v>
      </c>
      <c r="O106" s="26"/>
      <c r="P106" s="80">
        <f t="shared" si="17"/>
        <v>2889389.3545826832</v>
      </c>
      <c r="Q106" s="26"/>
    </row>
    <row r="107" spans="2:17" x14ac:dyDescent="0.2">
      <c r="B107" s="27" t="s">
        <v>63</v>
      </c>
      <c r="C107" s="26"/>
      <c r="D107" s="91">
        <f t="shared" si="18"/>
        <v>650830.31949286256</v>
      </c>
      <c r="E107" s="92">
        <f t="shared" si="14"/>
        <v>7.0877376133346504</v>
      </c>
      <c r="F107" s="80">
        <f t="shared" si="19"/>
        <v>4612914.5353681697</v>
      </c>
      <c r="G107" s="26"/>
      <c r="H107" s="91">
        <f t="shared" si="20"/>
        <v>478422.39149124001</v>
      </c>
      <c r="I107" s="92">
        <f t="shared" si="15"/>
        <v>1.0203613761765755</v>
      </c>
      <c r="J107" s="80">
        <f t="shared" si="21"/>
        <v>488163.72977569001</v>
      </c>
      <c r="K107" s="26"/>
      <c r="L107" s="91">
        <f t="shared" si="22"/>
        <v>656537.95411485247</v>
      </c>
      <c r="M107" s="92">
        <f t="shared" si="16"/>
        <v>4.1444294168556208</v>
      </c>
      <c r="N107" s="80">
        <f t="shared" si="23"/>
        <v>2720975.2103158003</v>
      </c>
      <c r="O107" s="26"/>
      <c r="P107" s="80">
        <f t="shared" si="17"/>
        <v>3209138.9400914903</v>
      </c>
      <c r="Q107" s="26"/>
    </row>
    <row r="108" spans="2:17" x14ac:dyDescent="0.2">
      <c r="B108" s="26"/>
      <c r="C108" s="26"/>
      <c r="D108" s="26"/>
      <c r="E108" s="26"/>
      <c r="F108" s="26"/>
      <c r="G108" s="26"/>
      <c r="H108" s="26"/>
      <c r="I108" s="26"/>
      <c r="J108" s="26"/>
      <c r="K108" s="26"/>
      <c r="L108" s="26"/>
      <c r="M108" s="26"/>
      <c r="N108" s="26"/>
      <c r="O108" s="26"/>
      <c r="P108" s="80"/>
      <c r="Q108" s="26"/>
    </row>
    <row r="109" spans="2:17" ht="13.5" thickBot="1" x14ac:dyDescent="0.25">
      <c r="B109" s="74" t="s">
        <v>3</v>
      </c>
      <c r="C109" s="26"/>
      <c r="D109" s="81">
        <f>SUM(D96:D107)</f>
        <v>8247798.867215001</v>
      </c>
      <c r="E109" s="82">
        <f>IF(D109&lt;&gt;0,F109/D109,0)</f>
        <v>7.0962373311595037</v>
      </c>
      <c r="F109" s="83">
        <f>SUM(F96:F107)</f>
        <v>58528338.221426159</v>
      </c>
      <c r="G109" s="26"/>
      <c r="H109" s="81">
        <f>SUM(H96:H107)</f>
        <v>5720066.4273431581</v>
      </c>
      <c r="I109" s="82">
        <f>IF(H109&lt;&gt;0,J109/H109,0)</f>
        <v>1.0172187517589948</v>
      </c>
      <c r="J109" s="83">
        <f>SUM(J96:J107)</f>
        <v>5818558.8312005401</v>
      </c>
      <c r="K109" s="26"/>
      <c r="L109" s="81">
        <f>SUM(L96:L107)</f>
        <v>8436691.9375859983</v>
      </c>
      <c r="M109" s="82">
        <f>IF(L109&lt;&gt;0,N109/L109,0)</f>
        <v>4.1422064955906599</v>
      </c>
      <c r="N109" s="83">
        <f>SUM(N96:N107)</f>
        <v>34946520.145166069</v>
      </c>
      <c r="O109" s="26"/>
      <c r="P109" s="83">
        <f>SUM(P96:P107)</f>
        <v>40765078.976366609</v>
      </c>
      <c r="Q109" s="26"/>
    </row>
    <row r="111" spans="2:17" x14ac:dyDescent="0.2">
      <c r="N111" s="94" t="s">
        <v>68</v>
      </c>
      <c r="P111" s="95" t="e">
        <f>#REF!</f>
        <v>#REF!</v>
      </c>
    </row>
    <row r="113" spans="14:16" ht="13.5" thickBot="1" x14ac:dyDescent="0.25">
      <c r="N113" s="96" t="s">
        <v>69</v>
      </c>
      <c r="P113" s="8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1B82-4CE9-4FEB-88B3-E08D82B548C9}">
  <dimension ref="A3:M49"/>
  <sheetViews>
    <sheetView topLeftCell="B16" workbookViewId="0">
      <selection activeCell="J39" sqref="J39"/>
    </sheetView>
  </sheetViews>
  <sheetFormatPr defaultColWidth="9.28515625" defaultRowHeight="12.75" x14ac:dyDescent="0.2"/>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12.28515625" style="1" bestFit="1" customWidth="1"/>
    <col min="12" max="12" width="14.28515625" style="1" customWidth="1"/>
    <col min="13" max="13" width="12.140625" style="1" customWidth="1"/>
    <col min="14" max="16384" width="9.28515625" style="1"/>
  </cols>
  <sheetData>
    <row r="3" spans="1:13" x14ac:dyDescent="0.2">
      <c r="D3" s="100"/>
      <c r="E3" s="101"/>
      <c r="F3" s="101"/>
      <c r="G3" s="101"/>
      <c r="H3" s="102"/>
      <c r="I3" s="101"/>
      <c r="J3" s="100"/>
    </row>
    <row r="4" spans="1:13" x14ac:dyDescent="0.2">
      <c r="D4" s="100"/>
      <c r="E4" s="101"/>
      <c r="F4" s="101"/>
      <c r="G4" s="101"/>
      <c r="H4" s="102"/>
      <c r="I4" s="101"/>
      <c r="J4" s="100"/>
    </row>
    <row r="5" spans="1:13" x14ac:dyDescent="0.2">
      <c r="D5" s="100"/>
      <c r="E5" s="101"/>
      <c r="F5" s="101"/>
      <c r="G5" s="101"/>
      <c r="H5" s="102"/>
      <c r="I5" s="101"/>
      <c r="J5" s="100"/>
    </row>
    <row r="6" spans="1:13" x14ac:dyDescent="0.2">
      <c r="D6" s="100"/>
      <c r="E6" s="101"/>
      <c r="F6" s="101"/>
      <c r="G6" s="101"/>
      <c r="H6" s="102"/>
      <c r="I6" s="101"/>
      <c r="J6" s="100"/>
    </row>
    <row r="7" spans="1:13" x14ac:dyDescent="0.2">
      <c r="D7" s="100"/>
      <c r="E7" s="101"/>
      <c r="F7" s="101"/>
      <c r="G7" s="101"/>
      <c r="H7" s="102"/>
      <c r="I7" s="101"/>
      <c r="J7" s="100"/>
    </row>
    <row r="8" spans="1:13" x14ac:dyDescent="0.2">
      <c r="D8" s="100"/>
      <c r="E8" s="101"/>
      <c r="F8" s="101"/>
      <c r="G8" s="101"/>
      <c r="H8" s="102"/>
      <c r="I8" s="101"/>
      <c r="J8" s="100"/>
    </row>
    <row r="9" spans="1:13" x14ac:dyDescent="0.2">
      <c r="D9" s="100"/>
      <c r="E9" s="101"/>
      <c r="F9" s="101"/>
      <c r="G9" s="101"/>
      <c r="H9" s="102"/>
      <c r="I9" s="101"/>
      <c r="J9" s="100"/>
    </row>
    <row r="10" spans="1:13" x14ac:dyDescent="0.2">
      <c r="D10" s="100"/>
      <c r="E10" s="101"/>
      <c r="F10" s="101"/>
      <c r="G10" s="101"/>
      <c r="H10" s="102"/>
      <c r="I10" s="101"/>
      <c r="J10" s="100"/>
    </row>
    <row r="11" spans="1:13" x14ac:dyDescent="0.2">
      <c r="D11" s="100"/>
      <c r="E11" s="101"/>
      <c r="F11" s="101"/>
      <c r="G11" s="101"/>
      <c r="H11" s="102"/>
      <c r="I11" s="101"/>
      <c r="J11" s="100"/>
    </row>
    <row r="12" spans="1:13" x14ac:dyDescent="0.2">
      <c r="D12" s="100"/>
      <c r="E12" s="101"/>
      <c r="F12" s="101"/>
      <c r="G12" s="101"/>
      <c r="H12" s="102"/>
      <c r="I12" s="101"/>
      <c r="J12" s="100"/>
    </row>
    <row r="13" spans="1:13" ht="15.75" x14ac:dyDescent="0.25">
      <c r="A13" s="103" t="s">
        <v>71</v>
      </c>
      <c r="D13" s="100"/>
      <c r="E13" s="101"/>
      <c r="F13" s="101"/>
      <c r="G13" s="101"/>
      <c r="H13" s="102"/>
      <c r="I13" s="101"/>
      <c r="J13" s="100"/>
    </row>
    <row r="14" spans="1:13" x14ac:dyDescent="0.2">
      <c r="D14" s="100"/>
      <c r="E14" s="101"/>
      <c r="F14" s="101"/>
      <c r="G14" s="101"/>
      <c r="H14" s="102"/>
      <c r="I14" s="101"/>
      <c r="J14" s="100"/>
    </row>
    <row r="15" spans="1:13" ht="47.25" x14ac:dyDescent="0.2">
      <c r="A15" s="104" t="s">
        <v>6</v>
      </c>
      <c r="B15" s="104" t="s">
        <v>7</v>
      </c>
      <c r="C15" s="105" t="s">
        <v>8</v>
      </c>
      <c r="D15" s="106" t="s">
        <v>72</v>
      </c>
      <c r="E15" s="107" t="s">
        <v>13</v>
      </c>
      <c r="F15" s="108" t="s">
        <v>73</v>
      </c>
      <c r="G15" s="109" t="s">
        <v>74</v>
      </c>
      <c r="H15" s="110" t="s">
        <v>75</v>
      </c>
      <c r="I15" s="108" t="s">
        <v>76</v>
      </c>
      <c r="J15" s="111" t="s">
        <v>77</v>
      </c>
    </row>
    <row r="16" spans="1:13" x14ac:dyDescent="0.2">
      <c r="G16" s="112"/>
      <c r="M16" s="118"/>
    </row>
    <row r="17" spans="1:13" x14ac:dyDescent="0.2">
      <c r="A17" s="1" t="s">
        <v>14</v>
      </c>
      <c r="B17" s="1" t="s">
        <v>15</v>
      </c>
      <c r="C17" s="99" t="s">
        <v>16</v>
      </c>
      <c r="D17" s="100">
        <f>'8. RTSR Rates to Forecast 2028'!J17</f>
        <v>1.32E-2</v>
      </c>
      <c r="E17" s="112">
        <f>'3. RRR Data 2029'!H17</f>
        <v>1610110224.3977337</v>
      </c>
      <c r="F17" s="112">
        <f>'3. RRR Data 2029'!F17</f>
        <v>0</v>
      </c>
      <c r="G17" s="112">
        <f>IF(D17*E17=0,ROUND(D17*F17,2),ROUND(D17*E17,2))</f>
        <v>21253454.960000001</v>
      </c>
      <c r="H17" s="113">
        <f t="shared" ref="H17:H28" si="0">G17/$G$28</f>
        <v>0.38540170697716308</v>
      </c>
      <c r="I17" s="112">
        <f>H17*$I$28</f>
        <v>22556921.457074378</v>
      </c>
      <c r="J17" s="100">
        <f>IF(I17*E17=0,ROUND(I17/F17,4),ROUND(I17/E17,4))</f>
        <v>1.4E-2</v>
      </c>
      <c r="K17" s="118"/>
      <c r="L17" s="124"/>
      <c r="M17" s="118"/>
    </row>
    <row r="18" spans="1:13" x14ac:dyDescent="0.2">
      <c r="A18" s="1" t="s">
        <v>18</v>
      </c>
      <c r="B18" s="1" t="s">
        <v>15</v>
      </c>
      <c r="C18" s="99" t="s">
        <v>16</v>
      </c>
      <c r="D18" s="100">
        <f>'8. RTSR Rates to Forecast 2028'!J18</f>
        <v>1.3299999999999999E-2</v>
      </c>
      <c r="E18" s="112">
        <f>'3. RRR Data 2029'!H19</f>
        <v>14514483.30667066</v>
      </c>
      <c r="F18" s="112">
        <f>'3. RRR Data 2029'!F19</f>
        <v>0</v>
      </c>
      <c r="G18" s="112">
        <f t="shared" ref="G18:G27" si="1">IF(D18*E18=0,ROUND(D18*F18,2),ROUND(D18*E18,2))</f>
        <v>193042.63</v>
      </c>
      <c r="H18" s="113">
        <f t="shared" si="0"/>
        <v>3.5005583450494638E-3</v>
      </c>
      <c r="I18" s="112">
        <f t="shared" ref="I18:I27" si="2">H18*$I$28</f>
        <v>204881.86278289082</v>
      </c>
      <c r="J18" s="100">
        <f t="shared" ref="J18:J27" si="3">IF(I18*E18=0,ROUND(I18/F18,4),ROUND(I18/E18,4))</f>
        <v>1.41E-2</v>
      </c>
      <c r="K18" s="121"/>
      <c r="L18" s="124"/>
      <c r="M18" s="118"/>
    </row>
    <row r="19" spans="1:13" x14ac:dyDescent="0.2">
      <c r="A19" s="1" t="s">
        <v>19</v>
      </c>
      <c r="B19" s="1" t="s">
        <v>15</v>
      </c>
      <c r="C19" s="99" t="s">
        <v>16</v>
      </c>
      <c r="D19" s="100">
        <f>'8. RTSR Rates to Forecast 2028'!J19</f>
        <v>1.2E-2</v>
      </c>
      <c r="E19" s="112">
        <f>'3. RRR Data 2029'!H21</f>
        <v>368781222.29127687</v>
      </c>
      <c r="F19" s="112">
        <f>'3. RRR Data 2029'!F21</f>
        <v>0</v>
      </c>
      <c r="G19" s="112">
        <f t="shared" si="1"/>
        <v>4425374.67</v>
      </c>
      <c r="H19" s="113">
        <f t="shared" si="0"/>
        <v>8.0247985800022598E-2</v>
      </c>
      <c r="I19" s="112">
        <f t="shared" si="2"/>
        <v>4696781.2544919252</v>
      </c>
      <c r="J19" s="100">
        <f t="shared" si="3"/>
        <v>1.2699999999999999E-2</v>
      </c>
      <c r="K19" s="121"/>
      <c r="L19" s="124"/>
      <c r="M19" s="118"/>
    </row>
    <row r="20" spans="1:13" x14ac:dyDescent="0.2">
      <c r="A20" s="1" t="s">
        <v>20</v>
      </c>
      <c r="B20" s="1" t="s">
        <v>15</v>
      </c>
      <c r="C20" s="99" t="s">
        <v>21</v>
      </c>
      <c r="D20" s="100">
        <f>'8. RTSR Rates to Forecast 2028'!J20</f>
        <v>5.5425000000000004</v>
      </c>
      <c r="E20" s="112"/>
      <c r="F20" s="112">
        <f>'3. RRR Data 2029'!F23</f>
        <v>3295840.1808685539</v>
      </c>
      <c r="G20" s="112">
        <f t="shared" si="1"/>
        <v>18267194.199999999</v>
      </c>
      <c r="H20" s="113">
        <f t="shared" si="0"/>
        <v>0.33125004097514188</v>
      </c>
      <c r="I20" s="112">
        <f t="shared" si="2"/>
        <v>19387514.434054375</v>
      </c>
      <c r="J20" s="100">
        <f t="shared" si="3"/>
        <v>5.8823999999999996</v>
      </c>
      <c r="K20" s="121"/>
      <c r="L20" s="124"/>
      <c r="M20" s="118"/>
    </row>
    <row r="21" spans="1:13" x14ac:dyDescent="0.2">
      <c r="A21" s="1" t="s">
        <v>20</v>
      </c>
      <c r="B21" s="1" t="s">
        <v>22</v>
      </c>
      <c r="C21" s="99" t="s">
        <v>21</v>
      </c>
      <c r="D21" s="100">
        <f>'8. RTSR Rates to Forecast 2028'!J21</f>
        <v>0.9456</v>
      </c>
      <c r="E21" s="112"/>
      <c r="F21" s="112">
        <f>'3. RRR Data 2029'!F25</f>
        <v>30280.040989757119</v>
      </c>
      <c r="G21" s="112">
        <f t="shared" si="1"/>
        <v>28632.81</v>
      </c>
      <c r="H21" s="113">
        <f t="shared" si="0"/>
        <v>5.1921599901387451E-4</v>
      </c>
      <c r="I21" s="112">
        <f t="shared" si="2"/>
        <v>30388.849600259713</v>
      </c>
      <c r="J21" s="100">
        <f t="shared" si="3"/>
        <v>1.0036</v>
      </c>
      <c r="K21" s="121"/>
      <c r="L21" s="124"/>
      <c r="M21" s="118"/>
    </row>
    <row r="22" spans="1:13" x14ac:dyDescent="0.2">
      <c r="A22" s="1" t="s">
        <v>24</v>
      </c>
      <c r="B22" s="1" t="s">
        <v>15</v>
      </c>
      <c r="C22" s="99" t="s">
        <v>21</v>
      </c>
      <c r="D22" s="100">
        <f>'8. RTSR Rates to Forecast 2028'!J22</f>
        <v>5.8741000000000003</v>
      </c>
      <c r="E22" s="112"/>
      <c r="F22" s="112">
        <f>'3. RRR Data 2029'!F27</f>
        <v>714879.82735508983</v>
      </c>
      <c r="G22" s="112">
        <f t="shared" si="1"/>
        <v>4199275.59</v>
      </c>
      <c r="H22" s="113">
        <f t="shared" si="0"/>
        <v>7.6147994925975723E-2</v>
      </c>
      <c r="I22" s="112">
        <f t="shared" si="2"/>
        <v>4456815.6019109497</v>
      </c>
      <c r="J22" s="100">
        <f t="shared" si="3"/>
        <v>6.2343999999999999</v>
      </c>
      <c r="K22" s="121"/>
      <c r="L22" s="124"/>
      <c r="M22" s="118"/>
    </row>
    <row r="23" spans="1:13" x14ac:dyDescent="0.2">
      <c r="A23" s="1" t="s">
        <v>24</v>
      </c>
      <c r="B23" s="1" t="s">
        <v>22</v>
      </c>
      <c r="C23" s="99" t="s">
        <v>21</v>
      </c>
      <c r="D23" s="100">
        <f>D22*0.17</f>
        <v>0.99859700000000018</v>
      </c>
      <c r="E23" s="112"/>
      <c r="F23" s="112"/>
      <c r="G23" s="112"/>
      <c r="H23" s="113">
        <f t="shared" si="0"/>
        <v>0</v>
      </c>
      <c r="I23" s="112">
        <f t="shared" si="2"/>
        <v>0</v>
      </c>
      <c r="J23" s="100">
        <f>J22*0.17</f>
        <v>1.0598480000000001</v>
      </c>
      <c r="K23" s="121"/>
      <c r="L23" s="124"/>
      <c r="M23" s="118"/>
    </row>
    <row r="24" spans="1:13" x14ac:dyDescent="0.2">
      <c r="A24" s="1" t="s">
        <v>27</v>
      </c>
      <c r="B24" s="1" t="s">
        <v>15</v>
      </c>
      <c r="C24" s="99" t="s">
        <v>21</v>
      </c>
      <c r="D24" s="100">
        <f>'8. RTSR Rates to Forecast 2028'!J24</f>
        <v>6.2595999999999998</v>
      </c>
      <c r="E24" s="112"/>
      <c r="F24" s="112">
        <f>'3. RRR Data 2029'!F31</f>
        <v>1042834.3281894677</v>
      </c>
      <c r="G24" s="112">
        <f t="shared" si="1"/>
        <v>6527725.7599999998</v>
      </c>
      <c r="H24" s="113">
        <f t="shared" si="0"/>
        <v>0.11837118507638623</v>
      </c>
      <c r="I24" s="112">
        <f t="shared" si="2"/>
        <v>6928068.7558217654</v>
      </c>
      <c r="J24" s="100">
        <f t="shared" si="3"/>
        <v>6.6435000000000004</v>
      </c>
      <c r="K24" s="121"/>
      <c r="L24" s="124"/>
      <c r="M24" s="118"/>
    </row>
    <row r="25" spans="1:13" x14ac:dyDescent="0.2">
      <c r="A25" s="1" t="s">
        <v>28</v>
      </c>
      <c r="B25" s="1" t="s">
        <v>15</v>
      </c>
      <c r="C25" s="99" t="s">
        <v>16</v>
      </c>
      <c r="D25" s="100">
        <f>'8. RTSR Rates to Forecast 2028'!J25</f>
        <v>1.21E-2</v>
      </c>
      <c r="E25" s="112">
        <f>'3. RRR Data 2029'!H33</f>
        <v>6688076.1413429212</v>
      </c>
      <c r="F25" s="112">
        <f>'3. RRR Data 2029'!F33</f>
        <v>0</v>
      </c>
      <c r="G25" s="112">
        <f t="shared" si="1"/>
        <v>80925.72</v>
      </c>
      <c r="H25" s="113">
        <f t="shared" si="0"/>
        <v>1.4674748498564088E-3</v>
      </c>
      <c r="I25" s="112">
        <f t="shared" si="2"/>
        <v>85888.864343832451</v>
      </c>
      <c r="J25" s="100">
        <f t="shared" si="3"/>
        <v>1.2800000000000001E-2</v>
      </c>
      <c r="K25" s="121"/>
      <c r="L25" s="124"/>
      <c r="M25" s="118"/>
    </row>
    <row r="26" spans="1:13" x14ac:dyDescent="0.2">
      <c r="A26" s="1" t="s">
        <v>29</v>
      </c>
      <c r="B26" s="1" t="s">
        <v>15</v>
      </c>
      <c r="C26" s="99" t="s">
        <v>21</v>
      </c>
      <c r="D26" s="100">
        <f>'8. RTSR Rates to Forecast 2028'!J26</f>
        <v>3.5922000000000001</v>
      </c>
      <c r="E26" s="112"/>
      <c r="F26" s="112">
        <f>'3. RRR Data 2029'!F35</f>
        <v>634.86173214226346</v>
      </c>
      <c r="G26" s="112">
        <f t="shared" si="1"/>
        <v>2280.5500000000002</v>
      </c>
      <c r="H26" s="113">
        <f t="shared" si="0"/>
        <v>4.1354587501229934E-5</v>
      </c>
      <c r="I26" s="112">
        <f t="shared" si="2"/>
        <v>2420.4152842795484</v>
      </c>
      <c r="J26" s="100">
        <f t="shared" si="3"/>
        <v>3.8125</v>
      </c>
      <c r="K26" s="121"/>
      <c r="L26" s="124"/>
      <c r="M26" s="118"/>
    </row>
    <row r="27" spans="1:13" x14ac:dyDescent="0.2">
      <c r="A27" s="1" t="s">
        <v>30</v>
      </c>
      <c r="B27" s="1" t="s">
        <v>15</v>
      </c>
      <c r="C27" s="99" t="s">
        <v>21</v>
      </c>
      <c r="D27" s="100">
        <f>'8. RTSR Rates to Forecast 2028'!J27</f>
        <v>3.7705000000000002</v>
      </c>
      <c r="E27" s="112"/>
      <c r="F27" s="112">
        <f>'3. RRR Data 2029'!F37</f>
        <v>44644.724030707992</v>
      </c>
      <c r="G27" s="112">
        <f t="shared" si="1"/>
        <v>168332.93</v>
      </c>
      <c r="H27" s="113">
        <f t="shared" si="0"/>
        <v>3.0524824638895934E-3</v>
      </c>
      <c r="I27" s="112">
        <f t="shared" si="2"/>
        <v>178656.72606150236</v>
      </c>
      <c r="J27" s="100">
        <f t="shared" si="3"/>
        <v>4.0016999999999996</v>
      </c>
      <c r="K27" s="121"/>
      <c r="L27" s="124"/>
      <c r="M27" s="118"/>
    </row>
    <row r="28" spans="1:13" x14ac:dyDescent="0.2">
      <c r="D28" s="100"/>
      <c r="E28" s="112"/>
      <c r="F28" s="112"/>
      <c r="G28" s="112">
        <f>SUM(G17:G27)</f>
        <v>55146239.819999993</v>
      </c>
      <c r="H28" s="113">
        <f t="shared" si="0"/>
        <v>1</v>
      </c>
      <c r="I28" s="112">
        <f>'7. Forecast Wholesale 2029'!F33+'7. Forecast Wholesale 2029'!F52</f>
        <v>58528338.221426152</v>
      </c>
      <c r="J28" s="100"/>
      <c r="L28" s="124"/>
    </row>
    <row r="30" spans="1:13" ht="15.75" x14ac:dyDescent="0.25">
      <c r="A30" s="103" t="s">
        <v>78</v>
      </c>
    </row>
    <row r="31" spans="1:13" ht="47.25" x14ac:dyDescent="0.2">
      <c r="A31" s="104" t="s">
        <v>6</v>
      </c>
      <c r="B31" s="104" t="s">
        <v>7</v>
      </c>
      <c r="C31" s="105" t="s">
        <v>8</v>
      </c>
      <c r="D31" s="106" t="s">
        <v>79</v>
      </c>
      <c r="E31" s="107" t="s">
        <v>13</v>
      </c>
      <c r="F31" s="108" t="s">
        <v>73</v>
      </c>
      <c r="G31" s="109" t="s">
        <v>74</v>
      </c>
      <c r="H31" s="110" t="s">
        <v>75</v>
      </c>
      <c r="I31" s="108" t="s">
        <v>76</v>
      </c>
      <c r="J31" s="111" t="s">
        <v>80</v>
      </c>
    </row>
    <row r="33" spans="1:13" x14ac:dyDescent="0.2">
      <c r="A33" s="1" t="s">
        <v>14</v>
      </c>
      <c r="B33" s="1" t="s">
        <v>17</v>
      </c>
      <c r="C33" s="99" t="s">
        <v>16</v>
      </c>
      <c r="D33" s="100">
        <f>'8. RTSR Rates to Forecast 2028'!J33</f>
        <v>9.4999999999999998E-3</v>
      </c>
      <c r="E33" s="112">
        <f>'3. RRR Data 2029'!H18</f>
        <v>1610110224.3977337</v>
      </c>
      <c r="F33" s="112">
        <f>'3. RRR Data 2029'!F18</f>
        <v>0</v>
      </c>
      <c r="G33" s="112">
        <f>IF(D33*E33=0,ROUND(D33*F33,2),ROUND(D33*E33,2))</f>
        <v>15296047.130000001</v>
      </c>
      <c r="H33" s="113">
        <f>G33/$G$44</f>
        <v>0.39917990875168957</v>
      </c>
      <c r="I33" s="112">
        <f>H33*$I$44</f>
        <v>16272600.506041439</v>
      </c>
      <c r="J33" s="100">
        <f>IF(I33*E33=0,ROUND(I33/F33,4),ROUND(I33/E33,4))</f>
        <v>1.01E-2</v>
      </c>
      <c r="K33" s="121"/>
      <c r="L33" s="124"/>
      <c r="M33" s="118"/>
    </row>
    <row r="34" spans="1:13" x14ac:dyDescent="0.2">
      <c r="A34" s="1" t="s">
        <v>18</v>
      </c>
      <c r="B34" s="1" t="s">
        <v>17</v>
      </c>
      <c r="C34" s="99" t="s">
        <v>16</v>
      </c>
      <c r="D34" s="100">
        <f>'8. RTSR Rates to Forecast 2028'!J34</f>
        <v>1.1599999999999999E-2</v>
      </c>
      <c r="E34" s="112">
        <f>'3. RRR Data 2029'!H20</f>
        <v>14514483.30667066</v>
      </c>
      <c r="F34" s="112">
        <f>'3. RRR Data 2029'!F20</f>
        <v>0</v>
      </c>
      <c r="G34" s="112">
        <f t="shared" ref="G34:G43" si="4">IF(D34*E34=0,ROUND(D34*F34,2),ROUND(D34*E34,2))</f>
        <v>168368.01</v>
      </c>
      <c r="H34" s="113">
        <f t="shared" ref="H34:H43" si="5">G34/$G$44</f>
        <v>4.3938885842399701E-3</v>
      </c>
      <c r="I34" s="112">
        <f t="shared" ref="I34:I43" si="6">H34*$I$44</f>
        <v>179117.21514989802</v>
      </c>
      <c r="J34" s="100">
        <f t="shared" ref="J34:J43" si="7">IF(I34*E34=0,ROUND(I34/F34,4),ROUND(I34/E34,4))</f>
        <v>1.23E-2</v>
      </c>
      <c r="K34" s="121"/>
      <c r="L34" s="124"/>
      <c r="M34" s="118"/>
    </row>
    <row r="35" spans="1:13" x14ac:dyDescent="0.2">
      <c r="A35" s="1" t="s">
        <v>19</v>
      </c>
      <c r="B35" s="1" t="s">
        <v>17</v>
      </c>
      <c r="C35" s="99" t="s">
        <v>16</v>
      </c>
      <c r="D35" s="100">
        <f>'8. RTSR Rates to Forecast 2028'!J35</f>
        <v>8.8999999999999999E-3</v>
      </c>
      <c r="E35" s="112">
        <f>'3. RRR Data 2029'!H22</f>
        <v>368781222.29127687</v>
      </c>
      <c r="F35" s="112">
        <f>'3. RRR Data 2029'!F22</f>
        <v>0</v>
      </c>
      <c r="G35" s="112">
        <f t="shared" si="4"/>
        <v>3282152.88</v>
      </c>
      <c r="H35" s="113">
        <f t="shared" si="5"/>
        <v>8.5654122010246123E-2</v>
      </c>
      <c r="I35" s="112">
        <f t="shared" si="6"/>
        <v>3491697.0483990242</v>
      </c>
      <c r="J35" s="100">
        <f t="shared" si="7"/>
        <v>9.4999999999999998E-3</v>
      </c>
      <c r="K35" s="121"/>
      <c r="L35" s="124"/>
      <c r="M35" s="118"/>
    </row>
    <row r="36" spans="1:13" x14ac:dyDescent="0.2">
      <c r="A36" s="1" t="s">
        <v>20</v>
      </c>
      <c r="B36" s="1" t="s">
        <v>17</v>
      </c>
      <c r="C36" s="99" t="s">
        <v>21</v>
      </c>
      <c r="D36" s="100">
        <f>'8. RTSR Rates to Forecast 2028'!J36</f>
        <v>3.9216000000000002</v>
      </c>
      <c r="E36" s="112"/>
      <c r="F36" s="112">
        <f>'3. RRR Data 2029'!F24</f>
        <v>3295840.1808685539</v>
      </c>
      <c r="G36" s="112">
        <f t="shared" si="4"/>
        <v>12924966.85</v>
      </c>
      <c r="H36" s="113">
        <f t="shared" si="5"/>
        <v>0.33730198684355206</v>
      </c>
      <c r="I36" s="112">
        <f t="shared" si="6"/>
        <v>13750142.132562768</v>
      </c>
      <c r="J36" s="100">
        <f t="shared" si="7"/>
        <v>4.1719999999999997</v>
      </c>
      <c r="K36" s="121"/>
      <c r="L36" s="124"/>
      <c r="M36" s="118"/>
    </row>
    <row r="37" spans="1:13" x14ac:dyDescent="0.2">
      <c r="A37" s="1" t="s">
        <v>20</v>
      </c>
      <c r="B37" s="1" t="s">
        <v>23</v>
      </c>
      <c r="C37" s="99" t="s">
        <v>21</v>
      </c>
      <c r="D37" s="100">
        <f>'8. RTSR Rates to Forecast 2028'!J37</f>
        <v>0.66610000000000003</v>
      </c>
      <c r="E37" s="112"/>
      <c r="F37" s="112">
        <f>'3. RRR Data 2029'!F26</f>
        <v>30280.040989757119</v>
      </c>
      <c r="G37" s="112">
        <f t="shared" si="4"/>
        <v>20169.54</v>
      </c>
      <c r="H37" s="113">
        <f t="shared" si="5"/>
        <v>5.2636312299094963E-4</v>
      </c>
      <c r="I37" s="112">
        <f t="shared" si="6"/>
        <v>21457.234278973028</v>
      </c>
      <c r="J37" s="100">
        <f t="shared" si="7"/>
        <v>0.70860000000000001</v>
      </c>
      <c r="K37" s="121"/>
      <c r="L37" s="124"/>
      <c r="M37" s="118"/>
    </row>
    <row r="38" spans="1:13" x14ac:dyDescent="0.2">
      <c r="A38" s="1" t="s">
        <v>24</v>
      </c>
      <c r="B38" s="1" t="s">
        <v>25</v>
      </c>
      <c r="C38" s="99" t="s">
        <v>21</v>
      </c>
      <c r="D38" s="100">
        <f>'8. RTSR Rates to Forecast 2028'!J38</f>
        <v>2.7709000000000001</v>
      </c>
      <c r="E38" s="112"/>
      <c r="F38" s="112">
        <f>'3. RRR Data 2029'!F28</f>
        <v>714879.82735508983</v>
      </c>
      <c r="G38" s="112">
        <f t="shared" si="4"/>
        <v>1980860.51</v>
      </c>
      <c r="H38" s="113">
        <f t="shared" si="5"/>
        <v>5.1694382928566797E-2</v>
      </c>
      <c r="I38" s="112">
        <f t="shared" si="6"/>
        <v>2107325.602717563</v>
      </c>
      <c r="J38" s="100">
        <f t="shared" si="7"/>
        <v>2.9478</v>
      </c>
      <c r="K38" s="121"/>
      <c r="L38" s="124"/>
      <c r="M38" s="118"/>
    </row>
    <row r="39" spans="1:13" x14ac:dyDescent="0.2">
      <c r="A39" s="1" t="s">
        <v>24</v>
      </c>
      <c r="B39" s="1" t="s">
        <v>26</v>
      </c>
      <c r="C39" s="99" t="s">
        <v>21</v>
      </c>
      <c r="D39" s="100">
        <f>D38*0.17</f>
        <v>0.47105300000000006</v>
      </c>
      <c r="E39" s="112"/>
      <c r="F39" s="112"/>
      <c r="G39" s="112"/>
      <c r="H39" s="113">
        <f t="shared" si="5"/>
        <v>0</v>
      </c>
      <c r="I39" s="112">
        <f t="shared" si="6"/>
        <v>0</v>
      </c>
      <c r="J39" s="100">
        <f>J38*0.17</f>
        <v>0.50112600000000007</v>
      </c>
      <c r="K39" s="121"/>
      <c r="L39" s="124"/>
      <c r="M39" s="118"/>
    </row>
    <row r="40" spans="1:13" x14ac:dyDescent="0.2">
      <c r="A40" s="1" t="s">
        <v>27</v>
      </c>
      <c r="B40" s="1" t="s">
        <v>25</v>
      </c>
      <c r="C40" s="99" t="s">
        <v>21</v>
      </c>
      <c r="D40" s="100">
        <f>'8. RTSR Rates to Forecast 2028'!J40</f>
        <v>4.2811000000000003</v>
      </c>
      <c r="E40" s="112"/>
      <c r="F40" s="112">
        <f>'3. RRR Data 2029'!F32</f>
        <v>1042834.3281894677</v>
      </c>
      <c r="G40" s="112">
        <f t="shared" si="4"/>
        <v>4464478.04</v>
      </c>
      <c r="H40" s="113">
        <f>G40/$G$44</f>
        <v>0.11650918184841666</v>
      </c>
      <c r="I40" s="112">
        <f t="shared" si="6"/>
        <v>4749505.9995225631</v>
      </c>
      <c r="J40" s="100">
        <f t="shared" si="7"/>
        <v>4.5544000000000002</v>
      </c>
      <c r="K40" s="121"/>
      <c r="L40" s="124"/>
      <c r="M40" s="118"/>
    </row>
    <row r="41" spans="1:13" x14ac:dyDescent="0.2">
      <c r="A41" s="1" t="s">
        <v>28</v>
      </c>
      <c r="B41" s="1" t="s">
        <v>17</v>
      </c>
      <c r="C41" s="99" t="s">
        <v>16</v>
      </c>
      <c r="D41" s="100">
        <f>'8. RTSR Rates to Forecast 2028'!J41</f>
        <v>8.9999999999999993E-3</v>
      </c>
      <c r="E41" s="112">
        <f>'3. RRR Data 2029'!H34</f>
        <v>6688076.1413429212</v>
      </c>
      <c r="F41" s="112">
        <f>'3. RRR Data 2029'!F34</f>
        <v>0</v>
      </c>
      <c r="G41" s="112">
        <f t="shared" si="4"/>
        <v>60192.69</v>
      </c>
      <c r="H41" s="113">
        <f t="shared" si="5"/>
        <v>1.5708445651029276E-3</v>
      </c>
      <c r="I41" s="112">
        <f t="shared" si="6"/>
        <v>64035.602756017091</v>
      </c>
      <c r="J41" s="100">
        <f t="shared" si="7"/>
        <v>9.5999999999999992E-3</v>
      </c>
      <c r="K41" s="121"/>
      <c r="L41" s="124"/>
      <c r="M41" s="118"/>
    </row>
    <row r="42" spans="1:13" x14ac:dyDescent="0.2">
      <c r="A42" s="1" t="s">
        <v>29</v>
      </c>
      <c r="B42" s="1" t="s">
        <v>17</v>
      </c>
      <c r="C42" s="99" t="s">
        <v>21</v>
      </c>
      <c r="D42" s="100">
        <f>'8. RTSR Rates to Forecast 2028'!J42</f>
        <v>2.5411999999999999</v>
      </c>
      <c r="E42" s="112"/>
      <c r="F42" s="112">
        <f>'3. RRR Data 2029'!F36</f>
        <v>634.86173214226346</v>
      </c>
      <c r="G42" s="112">
        <f t="shared" si="4"/>
        <v>1613.31</v>
      </c>
      <c r="H42" s="113">
        <f t="shared" si="5"/>
        <v>4.2102442095978835E-5</v>
      </c>
      <c r="I42" s="112">
        <f t="shared" si="6"/>
        <v>1716.309377140479</v>
      </c>
      <c r="J42" s="100">
        <f t="shared" si="7"/>
        <v>2.7033999999999998</v>
      </c>
      <c r="K42" s="121"/>
      <c r="L42" s="124"/>
      <c r="M42" s="118"/>
    </row>
    <row r="43" spans="1:13" x14ac:dyDescent="0.2">
      <c r="A43" s="1" t="s">
        <v>30</v>
      </c>
      <c r="B43" s="1" t="s">
        <v>17</v>
      </c>
      <c r="C43" s="99" t="s">
        <v>21</v>
      </c>
      <c r="D43" s="100">
        <f>'8. RTSR Rates to Forecast 2028'!J43</f>
        <v>2.6840999999999999</v>
      </c>
      <c r="E43" s="112"/>
      <c r="F43" s="112">
        <f>'3. RRR Data 2029'!F38</f>
        <v>44644.724030707992</v>
      </c>
      <c r="G43" s="112">
        <f t="shared" si="4"/>
        <v>119830.9</v>
      </c>
      <c r="H43" s="113">
        <f t="shared" si="5"/>
        <v>3.1272189030992371E-3</v>
      </c>
      <c r="I43" s="112">
        <f t="shared" si="6"/>
        <v>127481.32556122693</v>
      </c>
      <c r="J43" s="100">
        <f t="shared" si="7"/>
        <v>2.8555000000000001</v>
      </c>
      <c r="K43" s="121"/>
      <c r="L43" s="124"/>
      <c r="M43" s="118"/>
    </row>
    <row r="44" spans="1:13" x14ac:dyDescent="0.2">
      <c r="D44" s="100"/>
      <c r="E44" s="112"/>
      <c r="F44" s="112"/>
      <c r="G44" s="112">
        <f>SUM(G33:G43)</f>
        <v>38318679.859999992</v>
      </c>
      <c r="H44" s="113"/>
      <c r="I44" s="112">
        <f>'7. Forecast Wholesale 2029'!P33+'7. Forecast Wholesale 2029'!P52</f>
        <v>40765078.976366602</v>
      </c>
      <c r="J44" s="100"/>
    </row>
    <row r="46" spans="1:13" x14ac:dyDescent="0.2">
      <c r="D46" s="100"/>
      <c r="E46" s="112"/>
      <c r="F46" s="112"/>
      <c r="G46" s="112"/>
      <c r="H46" s="113"/>
      <c r="I46" s="112"/>
      <c r="J46" s="114"/>
    </row>
    <row r="47" spans="1:13" x14ac:dyDescent="0.2">
      <c r="D47" s="100"/>
      <c r="E47" s="112"/>
      <c r="F47" s="112"/>
      <c r="G47" s="112"/>
      <c r="H47" s="113"/>
      <c r="I47" s="112"/>
      <c r="J47" s="114"/>
    </row>
    <row r="48" spans="1:13" x14ac:dyDescent="0.2">
      <c r="D48" s="100"/>
      <c r="E48" s="112"/>
      <c r="F48" s="112"/>
      <c r="G48" s="112"/>
      <c r="H48" s="113"/>
      <c r="I48" s="112"/>
      <c r="J48" s="114"/>
    </row>
    <row r="49" spans="4:10" x14ac:dyDescent="0.2">
      <c r="D49" s="100"/>
      <c r="E49" s="112"/>
      <c r="F49" s="112"/>
      <c r="G49" s="112"/>
      <c r="H49" s="113"/>
      <c r="I49" s="112"/>
      <c r="J49" s="114"/>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86860-76A4-40DD-ABF4-4221533C6ACD}">
  <dimension ref="A13:Q113"/>
  <sheetViews>
    <sheetView topLeftCell="B13" workbookViewId="0">
      <selection activeCell="L39" sqref="L39:L50"/>
    </sheetView>
  </sheetViews>
  <sheetFormatPr defaultColWidth="9.28515625" defaultRowHeight="12.75" x14ac:dyDescent="0.2"/>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x14ac:dyDescent="0.25">
      <c r="B13" s="244" t="s">
        <v>70</v>
      </c>
      <c r="C13" s="243"/>
      <c r="D13" s="243"/>
      <c r="E13" s="243"/>
      <c r="F13" s="243"/>
      <c r="G13" s="243"/>
      <c r="H13" s="243"/>
      <c r="I13" s="243"/>
      <c r="J13" s="243"/>
      <c r="K13" s="243"/>
      <c r="L13" s="243"/>
      <c r="M13" s="243"/>
      <c r="N13" s="243"/>
      <c r="O13" s="243"/>
      <c r="P13" s="243"/>
    </row>
    <row r="16" spans="2:17" x14ac:dyDescent="0.2">
      <c r="B16" s="71" t="s">
        <v>47</v>
      </c>
      <c r="C16" s="72"/>
      <c r="D16" s="240" t="s">
        <v>0</v>
      </c>
      <c r="E16" s="240"/>
      <c r="F16" s="240"/>
      <c r="G16" s="72"/>
      <c r="H16" s="240" t="s">
        <v>1</v>
      </c>
      <c r="I16" s="240"/>
      <c r="J16" s="240"/>
      <c r="K16" s="72"/>
      <c r="L16" s="240" t="s">
        <v>2</v>
      </c>
      <c r="M16" s="240"/>
      <c r="N16" s="240"/>
      <c r="O16" s="72"/>
      <c r="P16" s="71" t="s">
        <v>48</v>
      </c>
      <c r="Q16" s="26"/>
    </row>
    <row r="17" spans="2:17" ht="15.75" x14ac:dyDescent="0.25">
      <c r="B17" s="26"/>
      <c r="C17" s="26"/>
      <c r="D17" s="241"/>
      <c r="E17" s="241"/>
      <c r="F17" s="241"/>
      <c r="G17" s="26"/>
      <c r="H17" s="241"/>
      <c r="I17" s="241"/>
      <c r="J17" s="241"/>
      <c r="K17" s="26"/>
      <c r="L17" s="241"/>
      <c r="M17" s="241"/>
      <c r="N17" s="241"/>
      <c r="O17" s="26"/>
      <c r="P17" s="90"/>
      <c r="Q17" s="73"/>
    </row>
    <row r="18" spans="2:17" x14ac:dyDescent="0.2">
      <c r="B18" s="74" t="s">
        <v>49</v>
      </c>
      <c r="C18" s="26"/>
      <c r="D18" s="90" t="s">
        <v>50</v>
      </c>
      <c r="E18" s="90" t="s">
        <v>9</v>
      </c>
      <c r="F18" s="90" t="s">
        <v>51</v>
      </c>
      <c r="G18" s="26"/>
      <c r="H18" s="90" t="s">
        <v>50</v>
      </c>
      <c r="I18" s="90" t="s">
        <v>9</v>
      </c>
      <c r="J18" s="90" t="s">
        <v>51</v>
      </c>
      <c r="K18" s="26"/>
      <c r="L18" s="90" t="s">
        <v>50</v>
      </c>
      <c r="M18" s="90" t="s">
        <v>9</v>
      </c>
      <c r="N18" s="90" t="s">
        <v>51</v>
      </c>
      <c r="O18" s="26"/>
      <c r="P18" s="90" t="s">
        <v>51</v>
      </c>
      <c r="Q18" s="26"/>
    </row>
    <row r="19" spans="2:17" x14ac:dyDescent="0.2">
      <c r="B19" s="26"/>
      <c r="C19" s="26"/>
      <c r="D19" s="26"/>
      <c r="E19" s="26"/>
      <c r="F19" s="26"/>
      <c r="G19" s="26"/>
      <c r="H19" s="26"/>
      <c r="I19" s="26"/>
      <c r="J19" s="26"/>
      <c r="K19" s="26"/>
      <c r="L19" s="26"/>
      <c r="M19" s="26"/>
      <c r="N19" s="26"/>
      <c r="O19" s="26"/>
      <c r="P19" s="26"/>
      <c r="Q19" s="26"/>
    </row>
    <row r="20" spans="2:17" x14ac:dyDescent="0.2">
      <c r="B20" s="27" t="s">
        <v>52</v>
      </c>
      <c r="C20" s="26"/>
      <c r="D20" s="97">
        <v>364372.17354342289</v>
      </c>
      <c r="E20" s="92">
        <f>'4. UTRs &amp; Sub-Transmission'!P22</f>
        <v>7.9963615705151456</v>
      </c>
      <c r="F20" s="98">
        <f>D20*E20</f>
        <v>2913651.6458877022</v>
      </c>
      <c r="G20" s="26"/>
      <c r="H20" s="97">
        <v>188542.01981733571</v>
      </c>
      <c r="I20" s="92">
        <f>'4. UTRs &amp; Sub-Transmission'!P24</f>
        <v>1.2818407349807814</v>
      </c>
      <c r="J20" s="98">
        <f>H20*I20</f>
        <v>241680.84125741466</v>
      </c>
      <c r="K20" s="26"/>
      <c r="L20" s="97">
        <v>388219.91786665173</v>
      </c>
      <c r="M20" s="92">
        <f>'4. UTRs &amp; Sub-Transmission'!P26</f>
        <v>4.3190919578807492</v>
      </c>
      <c r="N20" s="98">
        <f>L20*M20</f>
        <v>1676757.5251469805</v>
      </c>
      <c r="O20" s="26"/>
      <c r="P20" s="80">
        <f t="shared" ref="P20:P31" si="0">J20+N20</f>
        <v>1918438.3664043951</v>
      </c>
      <c r="Q20" s="26"/>
    </row>
    <row r="21" spans="2:17" x14ac:dyDescent="0.2">
      <c r="B21" s="27" t="s">
        <v>53</v>
      </c>
      <c r="C21" s="26"/>
      <c r="D21" s="97">
        <v>357522.41521655867</v>
      </c>
      <c r="E21" s="92">
        <f>E20</f>
        <v>7.9963615705151456</v>
      </c>
      <c r="F21" s="98">
        <f t="shared" ref="F21:F31" si="1">D21*E21</f>
        <v>2858878.501635449</v>
      </c>
      <c r="G21" s="26"/>
      <c r="H21" s="97">
        <v>198022.75637702615</v>
      </c>
      <c r="I21" s="92">
        <f>I20</f>
        <v>1.2818407349807814</v>
      </c>
      <c r="J21" s="98">
        <f t="shared" ref="J21:J31" si="2">H21*I21</f>
        <v>253833.63557724742</v>
      </c>
      <c r="K21" s="26"/>
      <c r="L21" s="97">
        <v>379854.42309043149</v>
      </c>
      <c r="M21" s="92">
        <f>M20</f>
        <v>4.3190919578807492</v>
      </c>
      <c r="N21" s="98">
        <f t="shared" ref="N21:N31" si="3">L21*M21</f>
        <v>1640626.1839353142</v>
      </c>
      <c r="O21" s="26"/>
      <c r="P21" s="80">
        <f t="shared" si="0"/>
        <v>1894459.8195125617</v>
      </c>
      <c r="Q21" s="26"/>
    </row>
    <row r="22" spans="2:17" x14ac:dyDescent="0.2">
      <c r="B22" s="27" t="s">
        <v>54</v>
      </c>
      <c r="C22" s="26"/>
      <c r="D22" s="97">
        <v>351696.93085819937</v>
      </c>
      <c r="E22" s="92">
        <f>E21</f>
        <v>7.9963615705151456</v>
      </c>
      <c r="F22" s="98">
        <f t="shared" si="1"/>
        <v>2812295.8223826275</v>
      </c>
      <c r="G22" s="26"/>
      <c r="H22" s="97">
        <v>189358.36735163428</v>
      </c>
      <c r="I22" s="92">
        <f t="shared" ref="I22:I31" si="4">I21</f>
        <v>1.2818407349807814</v>
      </c>
      <c r="J22" s="98">
        <f t="shared" si="2"/>
        <v>242727.2687807797</v>
      </c>
      <c r="K22" s="26"/>
      <c r="L22" s="97">
        <v>361716.38590651524</v>
      </c>
      <c r="M22" s="92">
        <f t="shared" ref="M22:M31" si="5">M21</f>
        <v>4.3190919578807492</v>
      </c>
      <c r="N22" s="98">
        <f t="shared" si="3"/>
        <v>1562286.3334025196</v>
      </c>
      <c r="O22" s="26"/>
      <c r="P22" s="80">
        <f t="shared" si="0"/>
        <v>1805013.6021832994</v>
      </c>
      <c r="Q22" s="26"/>
    </row>
    <row r="23" spans="2:17" x14ac:dyDescent="0.2">
      <c r="B23" s="27" t="s">
        <v>55</v>
      </c>
      <c r="C23" s="26"/>
      <c r="D23" s="97">
        <v>342218.55709889758</v>
      </c>
      <c r="E23" s="92">
        <f t="shared" ref="E23:E31" si="6">E22</f>
        <v>7.9963615705151456</v>
      </c>
      <c r="F23" s="98">
        <f t="shared" si="1"/>
        <v>2736503.3187027676</v>
      </c>
      <c r="G23" s="26"/>
      <c r="H23" s="97">
        <v>180964.51897074946</v>
      </c>
      <c r="I23" s="92">
        <f t="shared" si="4"/>
        <v>1.2818407349807814</v>
      </c>
      <c r="J23" s="98">
        <f t="shared" si="2"/>
        <v>231967.69200290905</v>
      </c>
      <c r="K23" s="26"/>
      <c r="L23" s="97">
        <v>344906.24254105281</v>
      </c>
      <c r="M23" s="92">
        <f t="shared" si="5"/>
        <v>4.3190919578807492</v>
      </c>
      <c r="N23" s="98">
        <f t="shared" si="3"/>
        <v>1489681.7783819283</v>
      </c>
      <c r="O23" s="26"/>
      <c r="P23" s="80">
        <f t="shared" si="0"/>
        <v>1721649.4703848374</v>
      </c>
      <c r="Q23" s="26"/>
    </row>
    <row r="24" spans="2:17" x14ac:dyDescent="0.2">
      <c r="B24" s="27" t="s">
        <v>56</v>
      </c>
      <c r="C24" s="26"/>
      <c r="D24" s="97">
        <v>420263.03533811396</v>
      </c>
      <c r="E24" s="92">
        <f t="shared" si="6"/>
        <v>7.9963615705151456</v>
      </c>
      <c r="F24" s="98">
        <f t="shared" si="1"/>
        <v>3360575.1852857429</v>
      </c>
      <c r="G24" s="26"/>
      <c r="H24" s="97">
        <v>241274.99889251866</v>
      </c>
      <c r="I24" s="92">
        <f t="shared" si="4"/>
        <v>1.2818407349807814</v>
      </c>
      <c r="J24" s="98">
        <f t="shared" si="2"/>
        <v>309276.12191287335</v>
      </c>
      <c r="K24" s="26"/>
      <c r="L24" s="97">
        <v>433304.51208358724</v>
      </c>
      <c r="M24" s="92">
        <f t="shared" si="5"/>
        <v>4.3190919578807492</v>
      </c>
      <c r="N24" s="98">
        <f t="shared" si="3"/>
        <v>1871482.0334536636</v>
      </c>
      <c r="O24" s="26"/>
      <c r="P24" s="80">
        <f t="shared" si="0"/>
        <v>2180758.1553665372</v>
      </c>
      <c r="Q24" s="26"/>
    </row>
    <row r="25" spans="2:17" x14ac:dyDescent="0.2">
      <c r="B25" s="27" t="s">
        <v>57</v>
      </c>
      <c r="C25" s="26"/>
      <c r="D25" s="97">
        <v>478366.65969683003</v>
      </c>
      <c r="E25" s="92">
        <f t="shared" si="6"/>
        <v>7.9963615705151456</v>
      </c>
      <c r="F25" s="98">
        <f t="shared" si="1"/>
        <v>3825192.7742154282</v>
      </c>
      <c r="G25" s="26"/>
      <c r="H25" s="97">
        <v>300965.24371225201</v>
      </c>
      <c r="I25" s="92">
        <f t="shared" si="4"/>
        <v>1.2818407349807814</v>
      </c>
      <c r="J25" s="98">
        <f t="shared" si="2"/>
        <v>385789.50920378312</v>
      </c>
      <c r="K25" s="26"/>
      <c r="L25" s="97">
        <v>517302.06590215309</v>
      </c>
      <c r="M25" s="92">
        <f t="shared" si="5"/>
        <v>4.3190919578807492</v>
      </c>
      <c r="N25" s="98">
        <f t="shared" si="3"/>
        <v>2234275.1926330868</v>
      </c>
      <c r="O25" s="26"/>
      <c r="P25" s="80">
        <f t="shared" si="0"/>
        <v>2620064.7018368701</v>
      </c>
      <c r="Q25" s="26"/>
    </row>
    <row r="26" spans="2:17" x14ac:dyDescent="0.2">
      <c r="B26" s="27" t="s">
        <v>58</v>
      </c>
      <c r="C26" s="26"/>
      <c r="D26" s="97">
        <v>523344.92789627361</v>
      </c>
      <c r="E26" s="92">
        <f t="shared" si="6"/>
        <v>7.9963615705151456</v>
      </c>
      <c r="F26" s="98">
        <f t="shared" si="1"/>
        <v>4184855.269553782</v>
      </c>
      <c r="G26" s="26"/>
      <c r="H26" s="97">
        <v>315204.66025480023</v>
      </c>
      <c r="I26" s="92">
        <f t="shared" si="4"/>
        <v>1.2818407349807814</v>
      </c>
      <c r="J26" s="98">
        <f t="shared" si="2"/>
        <v>404042.17337038065</v>
      </c>
      <c r="K26" s="26"/>
      <c r="L26" s="97">
        <v>536704.20129402808</v>
      </c>
      <c r="M26" s="92">
        <f t="shared" si="5"/>
        <v>4.3190919578807492</v>
      </c>
      <c r="N26" s="98">
        <f t="shared" si="3"/>
        <v>2318074.7995698475</v>
      </c>
      <c r="O26" s="26"/>
      <c r="P26" s="80">
        <f t="shared" si="0"/>
        <v>2722116.9729402279</v>
      </c>
      <c r="Q26" s="26"/>
    </row>
    <row r="27" spans="2:17" x14ac:dyDescent="0.2">
      <c r="B27" s="27" t="s">
        <v>59</v>
      </c>
      <c r="C27" s="26"/>
      <c r="D27" s="97">
        <v>508884.58951738122</v>
      </c>
      <c r="E27" s="92">
        <f t="shared" si="6"/>
        <v>7.9963615705151456</v>
      </c>
      <c r="F27" s="98">
        <f t="shared" si="1"/>
        <v>4069225.1754441615</v>
      </c>
      <c r="G27" s="26"/>
      <c r="H27" s="97">
        <v>305655.40248383716</v>
      </c>
      <c r="I27" s="92">
        <f t="shared" si="4"/>
        <v>1.2818407349807814</v>
      </c>
      <c r="J27" s="98">
        <f t="shared" si="2"/>
        <v>391801.54577072838</v>
      </c>
      <c r="K27" s="26"/>
      <c r="L27" s="97">
        <v>528238.28750128765</v>
      </c>
      <c r="M27" s="92">
        <f t="shared" si="5"/>
        <v>4.3190919578807492</v>
      </c>
      <c r="N27" s="98">
        <f t="shared" si="3"/>
        <v>2281509.7393915104</v>
      </c>
      <c r="O27" s="26"/>
      <c r="P27" s="80">
        <f t="shared" si="0"/>
        <v>2673311.2851622389</v>
      </c>
      <c r="Q27" s="26"/>
    </row>
    <row r="28" spans="2:17" x14ac:dyDescent="0.2">
      <c r="B28" s="27" t="s">
        <v>60</v>
      </c>
      <c r="C28" s="26"/>
      <c r="D28" s="97">
        <v>442395.38657914096</v>
      </c>
      <c r="E28" s="92">
        <f t="shared" si="6"/>
        <v>7.9963615705151456</v>
      </c>
      <c r="F28" s="98">
        <f t="shared" si="1"/>
        <v>3537553.4682146348</v>
      </c>
      <c r="G28" s="26"/>
      <c r="H28" s="97">
        <v>249169.11499119177</v>
      </c>
      <c r="I28" s="92">
        <f t="shared" si="4"/>
        <v>1.2818407349807814</v>
      </c>
      <c r="J28" s="98">
        <f t="shared" si="2"/>
        <v>319395.12149482011</v>
      </c>
      <c r="K28" s="26"/>
      <c r="L28" s="97">
        <v>443574.42397310608</v>
      </c>
      <c r="M28" s="92">
        <f t="shared" si="5"/>
        <v>4.3190919578807492</v>
      </c>
      <c r="N28" s="98">
        <f t="shared" si="3"/>
        <v>1915838.7273038283</v>
      </c>
      <c r="O28" s="26"/>
      <c r="P28" s="80">
        <f t="shared" si="0"/>
        <v>2235233.8487986485</v>
      </c>
      <c r="Q28" s="26"/>
    </row>
    <row r="29" spans="2:17" x14ac:dyDescent="0.2">
      <c r="B29" s="27" t="s">
        <v>61</v>
      </c>
      <c r="C29" s="26"/>
      <c r="D29" s="97">
        <v>362330.71400757926</v>
      </c>
      <c r="E29" s="92">
        <f t="shared" si="6"/>
        <v>7.9963615705151456</v>
      </c>
      <c r="F29" s="98">
        <f t="shared" si="1"/>
        <v>2897327.3973075207</v>
      </c>
      <c r="G29" s="26"/>
      <c r="H29" s="97">
        <v>260678.31568458793</v>
      </c>
      <c r="I29" s="92">
        <f t="shared" si="4"/>
        <v>1.2818407349807814</v>
      </c>
      <c r="J29" s="98">
        <f t="shared" si="2"/>
        <v>334148.08377068437</v>
      </c>
      <c r="K29" s="26"/>
      <c r="L29" s="97">
        <v>379666.58045952918</v>
      </c>
      <c r="M29" s="92">
        <f t="shared" si="5"/>
        <v>4.3190919578807492</v>
      </c>
      <c r="N29" s="98">
        <f t="shared" si="3"/>
        <v>1639814.8743388369</v>
      </c>
      <c r="O29" s="26"/>
      <c r="P29" s="80">
        <f t="shared" si="0"/>
        <v>1973962.9581095213</v>
      </c>
      <c r="Q29" s="26"/>
    </row>
    <row r="30" spans="2:17" x14ac:dyDescent="0.2">
      <c r="B30" s="27" t="s">
        <v>62</v>
      </c>
      <c r="C30" s="26"/>
      <c r="D30" s="97">
        <v>348762.33277542418</v>
      </c>
      <c r="E30" s="92">
        <f t="shared" si="6"/>
        <v>7.9963615705151456</v>
      </c>
      <c r="F30" s="98">
        <f t="shared" si="1"/>
        <v>2788829.7150486168</v>
      </c>
      <c r="G30" s="26"/>
      <c r="H30" s="97">
        <v>198155.07319879383</v>
      </c>
      <c r="I30" s="92">
        <f t="shared" si="4"/>
        <v>1.2818407349807814</v>
      </c>
      <c r="J30" s="98">
        <f t="shared" si="2"/>
        <v>254003.24466931244</v>
      </c>
      <c r="K30" s="26"/>
      <c r="L30" s="97">
        <v>327176.96982438315</v>
      </c>
      <c r="M30" s="92">
        <f t="shared" si="5"/>
        <v>4.3190919578807492</v>
      </c>
      <c r="N30" s="98">
        <f t="shared" si="3"/>
        <v>1413107.4191722858</v>
      </c>
      <c r="O30" s="26"/>
      <c r="P30" s="80">
        <f t="shared" si="0"/>
        <v>1667110.6638415982</v>
      </c>
      <c r="Q30" s="26"/>
    </row>
    <row r="31" spans="2:17" x14ac:dyDescent="0.2">
      <c r="B31" s="27" t="s">
        <v>63</v>
      </c>
      <c r="C31" s="26"/>
      <c r="D31" s="97">
        <v>379827.25088596129</v>
      </c>
      <c r="E31" s="92">
        <f t="shared" si="6"/>
        <v>7.9963615705151456</v>
      </c>
      <c r="F31" s="98">
        <f t="shared" si="1"/>
        <v>3037236.0324189155</v>
      </c>
      <c r="G31" s="26"/>
      <c r="H31" s="97">
        <v>244293.476389093</v>
      </c>
      <c r="I31" s="92">
        <f t="shared" si="4"/>
        <v>1.2818407349807814</v>
      </c>
      <c r="J31" s="98">
        <f t="shared" si="2"/>
        <v>313145.32932560513</v>
      </c>
      <c r="K31" s="26"/>
      <c r="L31" s="97">
        <v>378579.69228072354</v>
      </c>
      <c r="M31" s="92">
        <f t="shared" si="5"/>
        <v>4.3190919578807492</v>
      </c>
      <c r="N31" s="98">
        <f t="shared" si="3"/>
        <v>1635120.5043466417</v>
      </c>
      <c r="O31" s="26"/>
      <c r="P31" s="80">
        <f t="shared" si="0"/>
        <v>1948265.8336722469</v>
      </c>
      <c r="Q31" s="26"/>
    </row>
    <row r="32" spans="2:17" x14ac:dyDescent="0.2">
      <c r="B32" s="26"/>
      <c r="C32" s="26"/>
      <c r="D32" s="26"/>
      <c r="E32" s="26"/>
      <c r="F32" s="26"/>
      <c r="G32" s="26"/>
      <c r="H32" s="26"/>
      <c r="I32" s="26"/>
      <c r="J32" s="26"/>
      <c r="K32" s="26"/>
      <c r="L32" s="26"/>
      <c r="M32" s="26"/>
      <c r="N32" s="26"/>
      <c r="O32" s="26"/>
      <c r="P32" s="26"/>
      <c r="Q32" s="26"/>
    </row>
    <row r="33" spans="2:17" ht="13.5" thickBot="1" x14ac:dyDescent="0.25">
      <c r="B33" s="74" t="s">
        <v>3</v>
      </c>
      <c r="C33" s="26"/>
      <c r="D33" s="81">
        <f>SUM(D20:D31)</f>
        <v>4879984.9734137831</v>
      </c>
      <c r="E33" s="82">
        <f>IF(D33&lt;&gt;0,F33/D33,0)</f>
        <v>7.9963615705151456</v>
      </c>
      <c r="F33" s="83">
        <f>SUM(F20:F31)</f>
        <v>39022124.306097351</v>
      </c>
      <c r="G33" s="26"/>
      <c r="H33" s="81">
        <f>SUM(H20:H31)</f>
        <v>2872283.9481238201</v>
      </c>
      <c r="I33" s="82">
        <f>IF(H33&lt;&gt;0,J33/H33,0)</f>
        <v>1.2818407349807817</v>
      </c>
      <c r="J33" s="83">
        <f>SUM(J20:J31)</f>
        <v>3681810.5671365387</v>
      </c>
      <c r="K33" s="26"/>
      <c r="L33" s="81">
        <f>SUM(L20:L31)</f>
        <v>5019243.70272345</v>
      </c>
      <c r="M33" s="82">
        <f>IF(L33&lt;&gt;0,N33/L33,0)</f>
        <v>4.3190919578807483</v>
      </c>
      <c r="N33" s="83">
        <f>SUM(N20:N31)</f>
        <v>21678575.111076444</v>
      </c>
      <c r="O33" s="26"/>
      <c r="P33" s="83">
        <f>SUM(P20:P31)</f>
        <v>25360385.678212982</v>
      </c>
      <c r="Q33" s="26"/>
    </row>
    <row r="34" spans="2:17" x14ac:dyDescent="0.2">
      <c r="B34" s="26"/>
      <c r="C34" s="26"/>
      <c r="D34" s="26"/>
      <c r="E34" s="26"/>
      <c r="F34" s="26"/>
      <c r="G34" s="26"/>
      <c r="H34" s="26"/>
      <c r="I34" s="26"/>
      <c r="J34" s="26"/>
      <c r="K34" s="26"/>
      <c r="L34" s="26"/>
      <c r="M34" s="26"/>
      <c r="N34" s="26"/>
      <c r="O34" s="26"/>
      <c r="P34" s="26"/>
      <c r="Q34" s="26"/>
    </row>
    <row r="35" spans="2:17" x14ac:dyDescent="0.2">
      <c r="B35" s="71" t="s">
        <v>64</v>
      </c>
      <c r="C35" s="72"/>
      <c r="D35" s="240" t="s">
        <v>0</v>
      </c>
      <c r="E35" s="240"/>
      <c r="F35" s="240"/>
      <c r="G35" s="72"/>
      <c r="H35" s="240" t="s">
        <v>1</v>
      </c>
      <c r="I35" s="240"/>
      <c r="J35" s="240"/>
      <c r="K35" s="72"/>
      <c r="L35" s="240" t="s">
        <v>2</v>
      </c>
      <c r="M35" s="240"/>
      <c r="N35" s="240"/>
      <c r="O35" s="72"/>
      <c r="P35" s="71" t="s">
        <v>48</v>
      </c>
      <c r="Q35" s="26"/>
    </row>
    <row r="36" spans="2:17" x14ac:dyDescent="0.2">
      <c r="B36" s="74"/>
      <c r="C36" s="26"/>
      <c r="D36" s="90"/>
      <c r="E36" s="90"/>
      <c r="F36" s="90"/>
      <c r="G36" s="26"/>
      <c r="H36" s="90"/>
      <c r="I36" s="90"/>
      <c r="J36" s="90"/>
      <c r="K36" s="26"/>
      <c r="L36" s="90"/>
      <c r="M36" s="90"/>
      <c r="N36" s="90"/>
      <c r="O36" s="26"/>
      <c r="P36" s="90"/>
      <c r="Q36" s="26"/>
    </row>
    <row r="37" spans="2:17" x14ac:dyDescent="0.2">
      <c r="B37" s="74" t="s">
        <v>49</v>
      </c>
      <c r="C37" s="26"/>
      <c r="D37" s="90" t="s">
        <v>50</v>
      </c>
      <c r="E37" s="90" t="s">
        <v>9</v>
      </c>
      <c r="F37" s="90" t="s">
        <v>51</v>
      </c>
      <c r="G37" s="26"/>
      <c r="H37" s="90" t="s">
        <v>50</v>
      </c>
      <c r="I37" s="90" t="s">
        <v>9</v>
      </c>
      <c r="J37" s="90" t="s">
        <v>51</v>
      </c>
      <c r="K37" s="26"/>
      <c r="L37" s="90" t="s">
        <v>50</v>
      </c>
      <c r="M37" s="90" t="s">
        <v>9</v>
      </c>
      <c r="N37" s="90" t="s">
        <v>51</v>
      </c>
      <c r="O37" s="26"/>
      <c r="P37" s="90" t="s">
        <v>51</v>
      </c>
      <c r="Q37" s="26"/>
    </row>
    <row r="38" spans="2:17" x14ac:dyDescent="0.2">
      <c r="B38" s="26"/>
      <c r="C38" s="26"/>
      <c r="D38" s="26"/>
      <c r="E38" s="26"/>
      <c r="F38" s="26"/>
      <c r="G38" s="26"/>
      <c r="H38" s="26"/>
      <c r="I38" s="26"/>
      <c r="J38" s="26"/>
      <c r="K38" s="26"/>
      <c r="L38" s="26"/>
      <c r="M38" s="26"/>
      <c r="N38" s="26"/>
      <c r="O38" s="26"/>
      <c r="P38" s="26"/>
      <c r="Q38" s="26"/>
    </row>
    <row r="39" spans="2:17" x14ac:dyDescent="0.2">
      <c r="B39" s="27" t="s">
        <v>52</v>
      </c>
      <c r="C39" s="26"/>
      <c r="D39" s="97">
        <v>318977.10735541122</v>
      </c>
      <c r="E39" s="92">
        <f>'4. UTRs &amp; Sub-Transmission'!P35</f>
        <v>6.846086835676723</v>
      </c>
      <c r="F39" s="98">
        <f>D39*E39</f>
        <v>2183744.9755481216</v>
      </c>
      <c r="G39" s="26"/>
      <c r="H39" s="97">
        <v>290008.98556582123</v>
      </c>
      <c r="I39" s="92">
        <f>'4. UTRs &amp; Sub-Transmission'!P37</f>
        <v>0.87787422762664391</v>
      </c>
      <c r="J39" s="98">
        <f>H39*I39</f>
        <v>254591.41420838184</v>
      </c>
      <c r="K39" s="26"/>
      <c r="L39" s="97">
        <v>336245.7521363023</v>
      </c>
      <c r="M39" s="92">
        <f>'4. UTRs &amp; Sub-Transmission'!P39</f>
        <v>4.4515275153212421</v>
      </c>
      <c r="N39" s="98">
        <f>L39*M39</f>
        <v>1496807.217544636</v>
      </c>
      <c r="O39" s="26"/>
      <c r="P39" s="80">
        <f t="shared" ref="P39:P50" si="7">J39+N39</f>
        <v>1751398.6317530179</v>
      </c>
      <c r="Q39" s="26"/>
    </row>
    <row r="40" spans="2:17" x14ac:dyDescent="0.2">
      <c r="B40" s="27" t="s">
        <v>53</v>
      </c>
      <c r="C40" s="26"/>
      <c r="D40" s="97">
        <v>319105.97448861133</v>
      </c>
      <c r="E40" s="92">
        <f t="shared" ref="E40:E50" si="8">E39</f>
        <v>6.846086835676723</v>
      </c>
      <c r="F40" s="98">
        <f t="shared" ref="F40:F50" si="9">D40*E40</f>
        <v>2184627.2111322745</v>
      </c>
      <c r="G40" s="26"/>
      <c r="H40" s="97">
        <v>265942.91848667577</v>
      </c>
      <c r="I40" s="92">
        <f t="shared" ref="I40:I50" si="10">I39</f>
        <v>0.87787422762664391</v>
      </c>
      <c r="J40" s="98">
        <f t="shared" ref="J40:J50" si="11">H40*I40</f>
        <v>233464.43415926601</v>
      </c>
      <c r="K40" s="26"/>
      <c r="L40" s="97">
        <v>320847.86637717264</v>
      </c>
      <c r="M40" s="92">
        <f t="shared" ref="M40:M50" si="12">M39</f>
        <v>4.4515275153212421</v>
      </c>
      <c r="N40" s="98">
        <f t="shared" ref="N40:N50" si="13">L40*M40</f>
        <v>1428263.1054100972</v>
      </c>
      <c r="O40" s="26"/>
      <c r="P40" s="80">
        <f t="shared" si="7"/>
        <v>1661727.5395693632</v>
      </c>
      <c r="Q40" s="26"/>
    </row>
    <row r="41" spans="2:17" x14ac:dyDescent="0.2">
      <c r="B41" s="27" t="s">
        <v>54</v>
      </c>
      <c r="C41" s="26"/>
      <c r="D41" s="97">
        <v>268513.82251961913</v>
      </c>
      <c r="E41" s="92">
        <f t="shared" si="8"/>
        <v>6.846086835676723</v>
      </c>
      <c r="F41" s="98">
        <f t="shared" si="9"/>
        <v>1838268.9455488005</v>
      </c>
      <c r="G41" s="26"/>
      <c r="H41" s="97">
        <v>229013.83697541614</v>
      </c>
      <c r="I41" s="92">
        <f t="shared" si="10"/>
        <v>0.87787422762664391</v>
      </c>
      <c r="J41" s="98">
        <f t="shared" si="11"/>
        <v>201045.34525060758</v>
      </c>
      <c r="K41" s="26"/>
      <c r="L41" s="97">
        <v>273432.31050676713</v>
      </c>
      <c r="M41" s="92">
        <f t="shared" si="12"/>
        <v>4.4515275153212421</v>
      </c>
      <c r="N41" s="98">
        <f t="shared" si="13"/>
        <v>1217191.4537987355</v>
      </c>
      <c r="O41" s="26"/>
      <c r="P41" s="80">
        <f t="shared" si="7"/>
        <v>1418236.799049343</v>
      </c>
      <c r="Q41" s="26"/>
    </row>
    <row r="42" spans="2:17" x14ac:dyDescent="0.2">
      <c r="B42" s="27" t="s">
        <v>55</v>
      </c>
      <c r="C42" s="26"/>
      <c r="D42" s="97">
        <v>236288.69853421478</v>
      </c>
      <c r="E42" s="92">
        <f t="shared" si="8"/>
        <v>6.846086835676723</v>
      </c>
      <c r="F42" s="98">
        <f t="shared" si="9"/>
        <v>1617652.9484542736</v>
      </c>
      <c r="G42" s="26"/>
      <c r="H42" s="97">
        <v>209003.32773945673</v>
      </c>
      <c r="I42" s="92">
        <f t="shared" si="10"/>
        <v>0.87787422762664391</v>
      </c>
      <c r="J42" s="98">
        <f t="shared" si="11"/>
        <v>183478.63491067389</v>
      </c>
      <c r="K42" s="26"/>
      <c r="L42" s="97">
        <v>241144.04068097455</v>
      </c>
      <c r="M42" s="92">
        <f t="shared" si="12"/>
        <v>4.4515275153212421</v>
      </c>
      <c r="N42" s="98">
        <f t="shared" si="13"/>
        <v>1073459.3322471031</v>
      </c>
      <c r="O42" s="26"/>
      <c r="P42" s="80">
        <f t="shared" si="7"/>
        <v>1256937.9671577769</v>
      </c>
      <c r="Q42" s="26"/>
    </row>
    <row r="43" spans="2:17" x14ac:dyDescent="0.2">
      <c r="B43" s="27" t="s">
        <v>56</v>
      </c>
      <c r="C43" s="26"/>
      <c r="D43" s="97">
        <v>276062.03645538731</v>
      </c>
      <c r="E43" s="92">
        <f t="shared" si="8"/>
        <v>6.846086835676723</v>
      </c>
      <c r="F43" s="98">
        <f t="shared" si="9"/>
        <v>1889944.6736073347</v>
      </c>
      <c r="G43" s="26"/>
      <c r="H43" s="97">
        <v>229376.33781105178</v>
      </c>
      <c r="I43" s="92">
        <f t="shared" si="10"/>
        <v>0.87787422762664391</v>
      </c>
      <c r="J43" s="98">
        <f t="shared" si="11"/>
        <v>201363.57539170524</v>
      </c>
      <c r="K43" s="26"/>
      <c r="L43" s="97">
        <v>278441.8017508862</v>
      </c>
      <c r="M43" s="92">
        <f t="shared" si="12"/>
        <v>4.4515275153212421</v>
      </c>
      <c r="N43" s="98">
        <f t="shared" si="13"/>
        <v>1239491.3419096924</v>
      </c>
      <c r="O43" s="26"/>
      <c r="P43" s="80">
        <f t="shared" si="7"/>
        <v>1440854.9173013975</v>
      </c>
      <c r="Q43" s="26"/>
    </row>
    <row r="44" spans="2:17" x14ac:dyDescent="0.2">
      <c r="B44" s="27" t="s">
        <v>57</v>
      </c>
      <c r="C44" s="26"/>
      <c r="D44" s="97">
        <v>357371.32594570279</v>
      </c>
      <c r="E44" s="92">
        <f t="shared" si="8"/>
        <v>6.846086835676723</v>
      </c>
      <c r="F44" s="98">
        <f t="shared" si="9"/>
        <v>2446595.1300052111</v>
      </c>
      <c r="G44" s="26"/>
      <c r="H44" s="97">
        <v>311607.92280509544</v>
      </c>
      <c r="I44" s="92">
        <f t="shared" si="10"/>
        <v>0.87787422762664391</v>
      </c>
      <c r="J44" s="98">
        <f t="shared" si="11"/>
        <v>273552.56455486605</v>
      </c>
      <c r="K44" s="26"/>
      <c r="L44" s="97">
        <v>360777.81070810877</v>
      </c>
      <c r="M44" s="92">
        <f t="shared" si="12"/>
        <v>4.4515275153212421</v>
      </c>
      <c r="N44" s="98">
        <f t="shared" si="13"/>
        <v>1606012.3512845049</v>
      </c>
      <c r="O44" s="26"/>
      <c r="P44" s="80">
        <f t="shared" si="7"/>
        <v>1879564.9158393708</v>
      </c>
      <c r="Q44" s="26"/>
    </row>
    <row r="45" spans="2:17" x14ac:dyDescent="0.2">
      <c r="B45" s="27" t="s">
        <v>58</v>
      </c>
      <c r="C45" s="26"/>
      <c r="D45" s="97">
        <v>339345.65173427155</v>
      </c>
      <c r="E45" s="92">
        <f t="shared" si="8"/>
        <v>6.846086835676723</v>
      </c>
      <c r="F45" s="98">
        <f t="shared" si="9"/>
        <v>2323189.7990821344</v>
      </c>
      <c r="G45" s="26"/>
      <c r="H45" s="97">
        <v>288253.23585298017</v>
      </c>
      <c r="I45" s="92">
        <f t="shared" si="10"/>
        <v>0.87787422762664391</v>
      </c>
      <c r="J45" s="98">
        <f t="shared" si="11"/>
        <v>253050.0867853158</v>
      </c>
      <c r="K45" s="26"/>
      <c r="L45" s="97">
        <v>340334.9916990294</v>
      </c>
      <c r="M45" s="92">
        <f t="shared" si="12"/>
        <v>4.4515275153212421</v>
      </c>
      <c r="N45" s="98">
        <f t="shared" si="13"/>
        <v>1515010.579974856</v>
      </c>
      <c r="O45" s="26"/>
      <c r="P45" s="80">
        <f t="shared" si="7"/>
        <v>1768060.6667601718</v>
      </c>
      <c r="Q45" s="26"/>
    </row>
    <row r="46" spans="2:17" x14ac:dyDescent="0.2">
      <c r="B46" s="27" t="s">
        <v>59</v>
      </c>
      <c r="C46" s="26"/>
      <c r="D46" s="97">
        <v>371508.17332337704</v>
      </c>
      <c r="E46" s="92">
        <f t="shared" si="8"/>
        <v>6.846086835676723</v>
      </c>
      <c r="F46" s="98">
        <f t="shared" si="9"/>
        <v>2543377.2147354777</v>
      </c>
      <c r="G46" s="26"/>
      <c r="H46" s="97">
        <v>280698.20523809054</v>
      </c>
      <c r="I46" s="92">
        <f t="shared" si="10"/>
        <v>0.87787422762664391</v>
      </c>
      <c r="J46" s="98">
        <f t="shared" si="11"/>
        <v>246417.7201195739</v>
      </c>
      <c r="K46" s="26"/>
      <c r="L46" s="97">
        <v>375609.66400611959</v>
      </c>
      <c r="M46" s="92">
        <f t="shared" si="12"/>
        <v>4.4515275153212421</v>
      </c>
      <c r="N46" s="98">
        <f t="shared" si="13"/>
        <v>1672036.7543438082</v>
      </c>
      <c r="O46" s="26"/>
      <c r="P46" s="80">
        <f t="shared" si="7"/>
        <v>1918454.474463382</v>
      </c>
      <c r="Q46" s="26"/>
    </row>
    <row r="47" spans="2:17" x14ac:dyDescent="0.2">
      <c r="B47" s="27" t="s">
        <v>60</v>
      </c>
      <c r="C47" s="26"/>
      <c r="D47" s="97">
        <v>309810.78864344605</v>
      </c>
      <c r="E47" s="92">
        <f t="shared" si="8"/>
        <v>6.846086835676723</v>
      </c>
      <c r="F47" s="98">
        <f t="shared" si="9"/>
        <v>2120991.5616825195</v>
      </c>
      <c r="G47" s="26"/>
      <c r="H47" s="97">
        <v>241553.24226629289</v>
      </c>
      <c r="I47" s="92">
        <f t="shared" si="10"/>
        <v>0.87787422762664391</v>
      </c>
      <c r="J47" s="98">
        <f t="shared" si="11"/>
        <v>212053.36598523345</v>
      </c>
      <c r="K47" s="26"/>
      <c r="L47" s="97">
        <v>311454.71882789151</v>
      </c>
      <c r="M47" s="92">
        <f t="shared" si="12"/>
        <v>4.4515275153212421</v>
      </c>
      <c r="N47" s="98">
        <f t="shared" si="13"/>
        <v>1386449.250639</v>
      </c>
      <c r="O47" s="26"/>
      <c r="P47" s="80">
        <f t="shared" si="7"/>
        <v>1598502.6166242333</v>
      </c>
      <c r="Q47" s="26"/>
    </row>
    <row r="48" spans="2:17" x14ac:dyDescent="0.2">
      <c r="B48" s="27" t="s">
        <v>61</v>
      </c>
      <c r="C48" s="26"/>
      <c r="D48" s="97">
        <v>260871.10838230458</v>
      </c>
      <c r="E48" s="92">
        <f t="shared" si="8"/>
        <v>6.846086835676723</v>
      </c>
      <c r="F48" s="98">
        <f t="shared" si="9"/>
        <v>1785946.2609044909</v>
      </c>
      <c r="G48" s="26"/>
      <c r="H48" s="97">
        <v>207113.30008052537</v>
      </c>
      <c r="I48" s="92">
        <f t="shared" si="10"/>
        <v>0.87787422762664391</v>
      </c>
      <c r="J48" s="98">
        <f t="shared" si="11"/>
        <v>181819.42833939655</v>
      </c>
      <c r="K48" s="26"/>
      <c r="L48" s="97">
        <v>263927.04807904194</v>
      </c>
      <c r="M48" s="92">
        <f t="shared" si="12"/>
        <v>4.4515275153212421</v>
      </c>
      <c r="N48" s="98">
        <f t="shared" si="13"/>
        <v>1174878.5165613675</v>
      </c>
      <c r="O48" s="26"/>
      <c r="P48" s="80">
        <f t="shared" si="7"/>
        <v>1356697.9449007642</v>
      </c>
      <c r="Q48" s="26"/>
    </row>
    <row r="49" spans="2:17" x14ac:dyDescent="0.2">
      <c r="B49" s="27" t="s">
        <v>62</v>
      </c>
      <c r="C49" s="26"/>
      <c r="D49" s="97">
        <v>283607.10786663857</v>
      </c>
      <c r="E49" s="92">
        <f t="shared" si="8"/>
        <v>6.846086835676723</v>
      </c>
      <c r="F49" s="98">
        <f t="shared" si="9"/>
        <v>1941598.8876701428</v>
      </c>
      <c r="G49" s="26"/>
      <c r="H49" s="97">
        <v>229882.91040038879</v>
      </c>
      <c r="I49" s="92">
        <f t="shared" si="10"/>
        <v>0.87787422762664391</v>
      </c>
      <c r="J49" s="98">
        <f t="shared" si="11"/>
        <v>201808.28241230629</v>
      </c>
      <c r="K49" s="26"/>
      <c r="L49" s="97">
        <v>287824.19855839864</v>
      </c>
      <c r="M49" s="92">
        <f t="shared" si="12"/>
        <v>4.4515275153212421</v>
      </c>
      <c r="N49" s="98">
        <f t="shared" si="13"/>
        <v>1281257.3394579962</v>
      </c>
      <c r="O49" s="26"/>
      <c r="P49" s="80">
        <f t="shared" si="7"/>
        <v>1483065.6218703026</v>
      </c>
      <c r="Q49" s="26"/>
    </row>
    <row r="50" spans="2:17" x14ac:dyDescent="0.2">
      <c r="B50" s="27" t="s">
        <v>63</v>
      </c>
      <c r="C50" s="26"/>
      <c r="D50" s="97">
        <v>291962.25357715634</v>
      </c>
      <c r="E50" s="92">
        <f t="shared" si="8"/>
        <v>6.846086835676723</v>
      </c>
      <c r="F50" s="98">
        <f t="shared" si="9"/>
        <v>1998798.9407290793</v>
      </c>
      <c r="G50" s="26"/>
      <c r="H50" s="97">
        <v>249535.91612353481</v>
      </c>
      <c r="I50" s="92">
        <f t="shared" si="10"/>
        <v>0.87787422762664391</v>
      </c>
      <c r="J50" s="98">
        <f t="shared" si="11"/>
        <v>219061.14963205514</v>
      </c>
      <c r="K50" s="26"/>
      <c r="L50" s="97">
        <v>299101.2541136042</v>
      </c>
      <c r="M50" s="92">
        <f t="shared" si="12"/>
        <v>4.4515275153212421</v>
      </c>
      <c r="N50" s="98">
        <f t="shared" si="13"/>
        <v>1331457.4625537999</v>
      </c>
      <c r="O50" s="26"/>
      <c r="P50" s="80">
        <f t="shared" si="7"/>
        <v>1550518.6121858549</v>
      </c>
      <c r="Q50" s="26"/>
    </row>
    <row r="51" spans="2:17" x14ac:dyDescent="0.2">
      <c r="B51" s="26"/>
      <c r="C51" s="26"/>
      <c r="D51" s="26"/>
      <c r="E51" s="26"/>
      <c r="F51" s="26"/>
      <c r="G51" s="26"/>
      <c r="H51" s="26"/>
      <c r="I51" s="26"/>
      <c r="J51" s="26"/>
      <c r="K51" s="26"/>
      <c r="L51" s="26"/>
      <c r="M51" s="26"/>
      <c r="N51" s="26"/>
      <c r="O51" s="26"/>
      <c r="P51" s="26"/>
      <c r="Q51" s="26"/>
    </row>
    <row r="52" spans="2:17" ht="13.5" thickBot="1" x14ac:dyDescent="0.25">
      <c r="B52" s="74" t="s">
        <v>3</v>
      </c>
      <c r="C52" s="26"/>
      <c r="D52" s="81">
        <f>SUM(D39:D50)</f>
        <v>3633424.0488261408</v>
      </c>
      <c r="E52" s="82">
        <f>IF(D52&lt;&gt;0,F52/D52,0)</f>
        <v>6.8460868356767222</v>
      </c>
      <c r="F52" s="83">
        <f>SUM(F39:F50)</f>
        <v>24874736.549099859</v>
      </c>
      <c r="G52" s="26"/>
      <c r="H52" s="81">
        <f>SUM(H39:H50)</f>
        <v>3031990.1393453293</v>
      </c>
      <c r="I52" s="82">
        <f>IF(H52&lt;&gt;0,J52/H52,0)</f>
        <v>0.87787422762664413</v>
      </c>
      <c r="J52" s="83">
        <f>SUM(J39:J50)</f>
        <v>2661706.0017493819</v>
      </c>
      <c r="K52" s="26"/>
      <c r="L52" s="81">
        <f>SUM(L39:L50)</f>
        <v>3689141.4574442967</v>
      </c>
      <c r="M52" s="82">
        <f>IF(L52&lt;&gt;0,N52/L52,0)</f>
        <v>4.4515275153212421</v>
      </c>
      <c r="N52" s="83">
        <f>SUM(N39:N50)</f>
        <v>16422314.705725595</v>
      </c>
      <c r="O52" s="26"/>
      <c r="P52" s="83">
        <f>SUM(P39:P50)</f>
        <v>19084020.707474981</v>
      </c>
      <c r="Q52" s="26"/>
    </row>
    <row r="53" spans="2:17" x14ac:dyDescent="0.2">
      <c r="B53" s="26"/>
      <c r="C53" s="26"/>
      <c r="D53" s="26"/>
      <c r="E53" s="26"/>
      <c r="F53" s="26"/>
      <c r="G53" s="26"/>
      <c r="H53" s="26"/>
      <c r="I53" s="26"/>
      <c r="J53" s="26"/>
      <c r="K53" s="26"/>
      <c r="L53" s="26"/>
      <c r="M53" s="26"/>
      <c r="N53" s="26"/>
      <c r="O53" s="26"/>
      <c r="P53" s="26"/>
      <c r="Q53" s="26"/>
    </row>
    <row r="54" spans="2:17" x14ac:dyDescent="0.2">
      <c r="B54" s="71" t="e">
        <f>#REF!</f>
        <v>#REF!</v>
      </c>
      <c r="C54" s="72"/>
      <c r="D54" s="240" t="s">
        <v>0</v>
      </c>
      <c r="E54" s="240"/>
      <c r="F54" s="240"/>
      <c r="G54" s="72"/>
      <c r="H54" s="240" t="s">
        <v>1</v>
      </c>
      <c r="I54" s="240"/>
      <c r="J54" s="240"/>
      <c r="K54" s="72"/>
      <c r="L54" s="240" t="s">
        <v>2</v>
      </c>
      <c r="M54" s="240"/>
      <c r="N54" s="240"/>
      <c r="O54" s="72"/>
      <c r="P54" s="71" t="s">
        <v>48</v>
      </c>
      <c r="Q54" s="26"/>
    </row>
    <row r="55" spans="2:17" x14ac:dyDescent="0.2">
      <c r="B55" s="74"/>
      <c r="C55" s="26"/>
      <c r="D55" s="90"/>
      <c r="E55" s="90"/>
      <c r="F55" s="90"/>
      <c r="G55" s="26"/>
      <c r="H55" s="90"/>
      <c r="I55" s="90"/>
      <c r="J55" s="90"/>
      <c r="K55" s="26"/>
      <c r="L55" s="90"/>
      <c r="M55" s="90"/>
      <c r="N55" s="90"/>
      <c r="O55" s="26"/>
      <c r="P55" s="90"/>
      <c r="Q55" s="26"/>
    </row>
    <row r="56" spans="2:17" x14ac:dyDescent="0.2">
      <c r="B56" s="74" t="s">
        <v>49</v>
      </c>
      <c r="C56" s="26"/>
      <c r="D56" s="90" t="s">
        <v>50</v>
      </c>
      <c r="E56" s="90" t="s">
        <v>9</v>
      </c>
      <c r="F56" s="90" t="s">
        <v>51</v>
      </c>
      <c r="G56" s="26"/>
      <c r="H56" s="90" t="s">
        <v>50</v>
      </c>
      <c r="I56" s="90" t="s">
        <v>9</v>
      </c>
      <c r="J56" s="90" t="s">
        <v>51</v>
      </c>
      <c r="K56" s="26"/>
      <c r="L56" s="90" t="s">
        <v>50</v>
      </c>
      <c r="M56" s="90" t="s">
        <v>9</v>
      </c>
      <c r="N56" s="90" t="s">
        <v>51</v>
      </c>
      <c r="O56" s="26"/>
      <c r="P56" s="90" t="s">
        <v>51</v>
      </c>
      <c r="Q56" s="26"/>
    </row>
    <row r="57" spans="2:17" x14ac:dyDescent="0.2">
      <c r="B57" s="26"/>
      <c r="C57" s="26"/>
      <c r="D57" s="26"/>
      <c r="E57" s="26"/>
      <c r="F57" s="26"/>
      <c r="G57" s="26"/>
      <c r="H57" s="26"/>
      <c r="I57" s="26"/>
      <c r="J57" s="26"/>
      <c r="K57" s="26"/>
      <c r="L57" s="26"/>
      <c r="M57" s="26"/>
      <c r="N57" s="26"/>
      <c r="O57" s="26"/>
      <c r="P57" s="26"/>
      <c r="Q57" s="26"/>
    </row>
    <row r="58" spans="2:17" x14ac:dyDescent="0.2">
      <c r="B58" s="27" t="s">
        <v>52</v>
      </c>
      <c r="C58" s="26"/>
      <c r="D58" s="97"/>
      <c r="E58" s="92"/>
      <c r="F58" s="98"/>
      <c r="G58" s="26"/>
      <c r="H58" s="97"/>
      <c r="I58" s="92"/>
      <c r="J58" s="98"/>
      <c r="K58" s="26"/>
      <c r="L58" s="97"/>
      <c r="M58" s="92"/>
      <c r="N58" s="98"/>
      <c r="O58" s="26"/>
      <c r="P58" s="80"/>
      <c r="Q58" s="26"/>
    </row>
    <row r="59" spans="2:17" x14ac:dyDescent="0.2">
      <c r="B59" s="27" t="s">
        <v>53</v>
      </c>
      <c r="C59" s="26"/>
      <c r="D59" s="97"/>
      <c r="E59" s="92"/>
      <c r="F59" s="98"/>
      <c r="G59" s="26"/>
      <c r="H59" s="97"/>
      <c r="I59" s="92"/>
      <c r="J59" s="98"/>
      <c r="K59" s="26"/>
      <c r="L59" s="97"/>
      <c r="M59" s="92"/>
      <c r="N59" s="98"/>
      <c r="O59" s="26"/>
      <c r="P59" s="80"/>
      <c r="Q59" s="26"/>
    </row>
    <row r="60" spans="2:17" x14ac:dyDescent="0.2">
      <c r="B60" s="27" t="s">
        <v>54</v>
      </c>
      <c r="C60" s="26"/>
      <c r="D60" s="97"/>
      <c r="E60" s="92"/>
      <c r="F60" s="98"/>
      <c r="G60" s="26"/>
      <c r="H60" s="97"/>
      <c r="I60" s="92"/>
      <c r="J60" s="98"/>
      <c r="K60" s="26"/>
      <c r="L60" s="97"/>
      <c r="M60" s="92"/>
      <c r="N60" s="98"/>
      <c r="O60" s="26"/>
      <c r="P60" s="80"/>
      <c r="Q60" s="26"/>
    </row>
    <row r="61" spans="2:17" x14ac:dyDescent="0.2">
      <c r="B61" s="27" t="s">
        <v>55</v>
      </c>
      <c r="C61" s="26"/>
      <c r="D61" s="97"/>
      <c r="E61" s="92"/>
      <c r="F61" s="98"/>
      <c r="G61" s="26"/>
      <c r="H61" s="97"/>
      <c r="I61" s="92"/>
      <c r="J61" s="98"/>
      <c r="K61" s="26"/>
      <c r="L61" s="97"/>
      <c r="M61" s="92"/>
      <c r="N61" s="98"/>
      <c r="O61" s="26"/>
      <c r="P61" s="80"/>
      <c r="Q61" s="26"/>
    </row>
    <row r="62" spans="2:17" x14ac:dyDescent="0.2">
      <c r="B62" s="27" t="s">
        <v>56</v>
      </c>
      <c r="C62" s="26"/>
      <c r="D62" s="97"/>
      <c r="E62" s="92"/>
      <c r="F62" s="98"/>
      <c r="G62" s="26"/>
      <c r="H62" s="97"/>
      <c r="I62" s="92"/>
      <c r="J62" s="98"/>
      <c r="K62" s="26"/>
      <c r="L62" s="97"/>
      <c r="M62" s="92"/>
      <c r="N62" s="98"/>
      <c r="O62" s="26"/>
      <c r="P62" s="80"/>
      <c r="Q62" s="26"/>
    </row>
    <row r="63" spans="2:17" x14ac:dyDescent="0.2">
      <c r="B63" s="27" t="s">
        <v>57</v>
      </c>
      <c r="C63" s="26"/>
      <c r="D63" s="97"/>
      <c r="E63" s="92"/>
      <c r="F63" s="98"/>
      <c r="G63" s="26"/>
      <c r="H63" s="97"/>
      <c r="I63" s="92"/>
      <c r="J63" s="98"/>
      <c r="K63" s="26"/>
      <c r="L63" s="97"/>
      <c r="M63" s="92"/>
      <c r="N63" s="98"/>
      <c r="O63" s="26"/>
      <c r="P63" s="80"/>
      <c r="Q63" s="26"/>
    </row>
    <row r="64" spans="2:17" x14ac:dyDescent="0.2">
      <c r="B64" s="27" t="s">
        <v>58</v>
      </c>
      <c r="C64" s="26"/>
      <c r="D64" s="97"/>
      <c r="E64" s="92"/>
      <c r="F64" s="98"/>
      <c r="G64" s="26"/>
      <c r="H64" s="97"/>
      <c r="I64" s="92"/>
      <c r="J64" s="98"/>
      <c r="K64" s="26"/>
      <c r="L64" s="97"/>
      <c r="M64" s="92"/>
      <c r="N64" s="98"/>
      <c r="O64" s="26"/>
      <c r="P64" s="80"/>
      <c r="Q64" s="26"/>
    </row>
    <row r="65" spans="2:17" x14ac:dyDescent="0.2">
      <c r="B65" s="27" t="s">
        <v>59</v>
      </c>
      <c r="C65" s="26"/>
      <c r="D65" s="97"/>
      <c r="E65" s="92"/>
      <c r="F65" s="98"/>
      <c r="G65" s="26"/>
      <c r="H65" s="97"/>
      <c r="I65" s="92"/>
      <c r="J65" s="98"/>
      <c r="K65" s="26"/>
      <c r="L65" s="97"/>
      <c r="M65" s="92"/>
      <c r="N65" s="98"/>
      <c r="O65" s="26"/>
      <c r="P65" s="80"/>
      <c r="Q65" s="26"/>
    </row>
    <row r="66" spans="2:17" x14ac:dyDescent="0.2">
      <c r="B66" s="27" t="s">
        <v>60</v>
      </c>
      <c r="C66" s="26"/>
      <c r="D66" s="97"/>
      <c r="E66" s="92"/>
      <c r="F66" s="98"/>
      <c r="G66" s="26"/>
      <c r="H66" s="97"/>
      <c r="I66" s="92"/>
      <c r="J66" s="98"/>
      <c r="K66" s="26"/>
      <c r="L66" s="97"/>
      <c r="M66" s="92"/>
      <c r="N66" s="98"/>
      <c r="O66" s="26"/>
      <c r="P66" s="80"/>
      <c r="Q66" s="26"/>
    </row>
    <row r="67" spans="2:17" x14ac:dyDescent="0.2">
      <c r="B67" s="27" t="s">
        <v>61</v>
      </c>
      <c r="C67" s="26"/>
      <c r="D67" s="97"/>
      <c r="E67" s="92"/>
      <c r="F67" s="98"/>
      <c r="G67" s="26"/>
      <c r="H67" s="97"/>
      <c r="I67" s="92"/>
      <c r="J67" s="98"/>
      <c r="K67" s="26"/>
      <c r="L67" s="97"/>
      <c r="M67" s="92"/>
      <c r="N67" s="98"/>
      <c r="O67" s="26"/>
      <c r="P67" s="80"/>
      <c r="Q67" s="26"/>
    </row>
    <row r="68" spans="2:17" x14ac:dyDescent="0.2">
      <c r="B68" s="27" t="s">
        <v>62</v>
      </c>
      <c r="C68" s="26"/>
      <c r="D68" s="97"/>
      <c r="E68" s="92"/>
      <c r="F68" s="98"/>
      <c r="G68" s="26"/>
      <c r="H68" s="97"/>
      <c r="I68" s="92"/>
      <c r="J68" s="98"/>
      <c r="K68" s="26"/>
      <c r="L68" s="97"/>
      <c r="M68" s="92"/>
      <c r="N68" s="98"/>
      <c r="O68" s="26"/>
      <c r="P68" s="80"/>
      <c r="Q68" s="26"/>
    </row>
    <row r="69" spans="2:17" x14ac:dyDescent="0.2">
      <c r="B69" s="27" t="s">
        <v>63</v>
      </c>
      <c r="C69" s="26"/>
      <c r="D69" s="97"/>
      <c r="E69" s="92"/>
      <c r="F69" s="98"/>
      <c r="G69" s="26"/>
      <c r="H69" s="97"/>
      <c r="I69" s="92"/>
      <c r="J69" s="98"/>
      <c r="K69" s="26"/>
      <c r="L69" s="97"/>
      <c r="M69" s="92"/>
      <c r="N69" s="98"/>
      <c r="O69" s="26"/>
      <c r="P69" s="80"/>
      <c r="Q69" s="26"/>
    </row>
    <row r="70" spans="2:17" x14ac:dyDescent="0.2">
      <c r="B70" s="26"/>
      <c r="C70" s="26"/>
      <c r="D70" s="26"/>
      <c r="E70" s="26"/>
      <c r="F70" s="26"/>
      <c r="G70" s="26"/>
      <c r="H70" s="26"/>
      <c r="I70" s="26"/>
      <c r="J70" s="26"/>
      <c r="K70" s="26"/>
      <c r="L70" s="26"/>
      <c r="M70" s="26"/>
      <c r="N70" s="26"/>
      <c r="O70" s="26"/>
      <c r="P70" s="26"/>
      <c r="Q70" s="26"/>
    </row>
    <row r="71" spans="2:17" ht="13.5" thickBot="1" x14ac:dyDescent="0.25">
      <c r="B71" s="74" t="s">
        <v>3</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x14ac:dyDescent="0.2">
      <c r="B72" s="26"/>
      <c r="C72" s="26"/>
      <c r="D72" s="26"/>
      <c r="E72" s="26"/>
      <c r="F72" s="26"/>
      <c r="G72" s="26"/>
      <c r="H72" s="26"/>
      <c r="I72" s="26"/>
      <c r="J72" s="26"/>
      <c r="K72" s="26"/>
      <c r="L72" s="26"/>
      <c r="M72" s="26"/>
      <c r="N72" s="26"/>
      <c r="O72" s="26"/>
      <c r="P72" s="26"/>
      <c r="Q72" s="26"/>
    </row>
    <row r="73" spans="2:17" x14ac:dyDescent="0.2">
      <c r="B73" s="71" t="e">
        <f>#REF!</f>
        <v>#REF!</v>
      </c>
      <c r="C73" s="72"/>
      <c r="D73" s="240" t="s">
        <v>0</v>
      </c>
      <c r="E73" s="240"/>
      <c r="F73" s="240"/>
      <c r="G73" s="72"/>
      <c r="H73" s="240" t="s">
        <v>1</v>
      </c>
      <c r="I73" s="240"/>
      <c r="J73" s="240"/>
      <c r="K73" s="72"/>
      <c r="L73" s="240" t="s">
        <v>2</v>
      </c>
      <c r="M73" s="240"/>
      <c r="N73" s="240"/>
      <c r="O73" s="72"/>
      <c r="P73" s="71" t="s">
        <v>48</v>
      </c>
      <c r="Q73" s="26"/>
    </row>
    <row r="74" spans="2:17" x14ac:dyDescent="0.2">
      <c r="B74" s="74"/>
      <c r="C74" s="26"/>
      <c r="D74" s="90"/>
      <c r="E74" s="90"/>
      <c r="F74" s="90"/>
      <c r="G74" s="26"/>
      <c r="H74" s="90"/>
      <c r="I74" s="90"/>
      <c r="J74" s="90"/>
      <c r="K74" s="26"/>
      <c r="L74" s="90"/>
      <c r="M74" s="90"/>
      <c r="N74" s="90"/>
      <c r="O74" s="26"/>
      <c r="P74" s="90"/>
      <c r="Q74" s="26"/>
    </row>
    <row r="75" spans="2:17" x14ac:dyDescent="0.2">
      <c r="B75" s="74" t="s">
        <v>49</v>
      </c>
      <c r="C75" s="26"/>
      <c r="D75" s="90" t="s">
        <v>50</v>
      </c>
      <c r="E75" s="90" t="s">
        <v>9</v>
      </c>
      <c r="F75" s="90" t="s">
        <v>51</v>
      </c>
      <c r="G75" s="26"/>
      <c r="H75" s="90" t="s">
        <v>50</v>
      </c>
      <c r="I75" s="90" t="s">
        <v>9</v>
      </c>
      <c r="J75" s="90" t="s">
        <v>51</v>
      </c>
      <c r="K75" s="26"/>
      <c r="L75" s="90" t="s">
        <v>50</v>
      </c>
      <c r="M75" s="90" t="s">
        <v>9</v>
      </c>
      <c r="N75" s="90" t="s">
        <v>51</v>
      </c>
      <c r="O75" s="26"/>
      <c r="P75" s="90" t="s">
        <v>51</v>
      </c>
      <c r="Q75" s="26"/>
    </row>
    <row r="76" spans="2:17" x14ac:dyDescent="0.2">
      <c r="B76" s="26"/>
      <c r="C76" s="26"/>
      <c r="D76" s="26"/>
      <c r="E76" s="26"/>
      <c r="F76" s="26"/>
      <c r="G76" s="26"/>
      <c r="H76" s="26"/>
      <c r="I76" s="26"/>
      <c r="J76" s="26"/>
      <c r="K76" s="26"/>
      <c r="L76" s="26"/>
      <c r="M76" s="26"/>
      <c r="N76" s="26"/>
      <c r="O76" s="26"/>
      <c r="P76" s="26"/>
      <c r="Q76" s="26"/>
    </row>
    <row r="77" spans="2:17" x14ac:dyDescent="0.2">
      <c r="B77" s="27" t="s">
        <v>52</v>
      </c>
      <c r="C77" s="26"/>
      <c r="D77" s="97"/>
      <c r="E77" s="92"/>
      <c r="F77" s="98"/>
      <c r="G77" s="26"/>
      <c r="H77" s="97"/>
      <c r="I77" s="92"/>
      <c r="J77" s="98"/>
      <c r="K77" s="26"/>
      <c r="L77" s="97"/>
      <c r="M77" s="92"/>
      <c r="N77" s="98"/>
      <c r="O77" s="26"/>
      <c r="P77" s="80"/>
      <c r="Q77" s="26"/>
    </row>
    <row r="78" spans="2:17" x14ac:dyDescent="0.2">
      <c r="B78" s="27" t="s">
        <v>53</v>
      </c>
      <c r="C78" s="26"/>
      <c r="D78" s="97"/>
      <c r="E78" s="92"/>
      <c r="F78" s="98"/>
      <c r="G78" s="26"/>
      <c r="H78" s="97"/>
      <c r="I78" s="92"/>
      <c r="J78" s="98"/>
      <c r="K78" s="26"/>
      <c r="L78" s="97"/>
      <c r="M78" s="92"/>
      <c r="N78" s="98"/>
      <c r="O78" s="26"/>
      <c r="P78" s="80"/>
      <c r="Q78" s="26"/>
    </row>
    <row r="79" spans="2:17" x14ac:dyDescent="0.2">
      <c r="B79" s="27" t="s">
        <v>54</v>
      </c>
      <c r="C79" s="26"/>
      <c r="D79" s="97"/>
      <c r="E79" s="92"/>
      <c r="F79" s="98"/>
      <c r="G79" s="26"/>
      <c r="H79" s="97"/>
      <c r="I79" s="92"/>
      <c r="J79" s="98"/>
      <c r="K79" s="26"/>
      <c r="L79" s="97"/>
      <c r="M79" s="92"/>
      <c r="N79" s="98"/>
      <c r="O79" s="26"/>
      <c r="P79" s="80"/>
      <c r="Q79" s="26"/>
    </row>
    <row r="80" spans="2:17" x14ac:dyDescent="0.2">
      <c r="B80" s="27" t="s">
        <v>55</v>
      </c>
      <c r="C80" s="26"/>
      <c r="D80" s="97"/>
      <c r="E80" s="92"/>
      <c r="F80" s="98"/>
      <c r="G80" s="26"/>
      <c r="H80" s="97"/>
      <c r="I80" s="92"/>
      <c r="J80" s="98"/>
      <c r="K80" s="26"/>
      <c r="L80" s="97"/>
      <c r="M80" s="92"/>
      <c r="N80" s="98"/>
      <c r="O80" s="26"/>
      <c r="P80" s="80"/>
      <c r="Q80" s="26"/>
    </row>
    <row r="81" spans="2:17" x14ac:dyDescent="0.2">
      <c r="B81" s="27" t="s">
        <v>56</v>
      </c>
      <c r="C81" s="26"/>
      <c r="D81" s="97"/>
      <c r="E81" s="92"/>
      <c r="F81" s="98"/>
      <c r="G81" s="26"/>
      <c r="H81" s="97"/>
      <c r="I81" s="92"/>
      <c r="J81" s="98"/>
      <c r="K81" s="26"/>
      <c r="L81" s="97"/>
      <c r="M81" s="92"/>
      <c r="N81" s="98"/>
      <c r="O81" s="26"/>
      <c r="P81" s="80"/>
      <c r="Q81" s="26"/>
    </row>
    <row r="82" spans="2:17" x14ac:dyDescent="0.2">
      <c r="B82" s="27" t="s">
        <v>57</v>
      </c>
      <c r="C82" s="26"/>
      <c r="D82" s="97"/>
      <c r="E82" s="92"/>
      <c r="F82" s="98"/>
      <c r="G82" s="26"/>
      <c r="H82" s="97"/>
      <c r="I82" s="92"/>
      <c r="J82" s="98"/>
      <c r="K82" s="26"/>
      <c r="L82" s="97"/>
      <c r="M82" s="92"/>
      <c r="N82" s="98"/>
      <c r="O82" s="26"/>
      <c r="P82" s="80"/>
      <c r="Q82" s="26"/>
    </row>
    <row r="83" spans="2:17" x14ac:dyDescent="0.2">
      <c r="B83" s="27" t="s">
        <v>58</v>
      </c>
      <c r="C83" s="26"/>
      <c r="D83" s="97"/>
      <c r="E83" s="92"/>
      <c r="F83" s="98"/>
      <c r="G83" s="26"/>
      <c r="H83" s="97"/>
      <c r="I83" s="92"/>
      <c r="J83" s="98"/>
      <c r="K83" s="26"/>
      <c r="L83" s="97"/>
      <c r="M83" s="92"/>
      <c r="N83" s="98"/>
      <c r="O83" s="26"/>
      <c r="P83" s="80"/>
      <c r="Q83" s="26"/>
    </row>
    <row r="84" spans="2:17" x14ac:dyDescent="0.2">
      <c r="B84" s="27" t="s">
        <v>59</v>
      </c>
      <c r="C84" s="26"/>
      <c r="D84" s="97"/>
      <c r="E84" s="92"/>
      <c r="F84" s="98"/>
      <c r="G84" s="26"/>
      <c r="H84" s="97"/>
      <c r="I84" s="92"/>
      <c r="J84" s="98"/>
      <c r="K84" s="26"/>
      <c r="L84" s="97"/>
      <c r="M84" s="92"/>
      <c r="N84" s="98"/>
      <c r="O84" s="26"/>
      <c r="P84" s="80"/>
      <c r="Q84" s="26"/>
    </row>
    <row r="85" spans="2:17" x14ac:dyDescent="0.2">
      <c r="B85" s="27" t="s">
        <v>60</v>
      </c>
      <c r="C85" s="26"/>
      <c r="D85" s="97"/>
      <c r="E85" s="92"/>
      <c r="F85" s="98"/>
      <c r="G85" s="26"/>
      <c r="H85" s="97"/>
      <c r="I85" s="92"/>
      <c r="J85" s="98"/>
      <c r="K85" s="26"/>
      <c r="L85" s="97"/>
      <c r="M85" s="92"/>
      <c r="N85" s="98"/>
      <c r="O85" s="26"/>
      <c r="P85" s="80"/>
      <c r="Q85" s="26"/>
    </row>
    <row r="86" spans="2:17" x14ac:dyDescent="0.2">
      <c r="B86" s="27" t="s">
        <v>61</v>
      </c>
      <c r="C86" s="26"/>
      <c r="D86" s="97"/>
      <c r="E86" s="92"/>
      <c r="F86" s="98"/>
      <c r="G86" s="26"/>
      <c r="H86" s="97"/>
      <c r="I86" s="92"/>
      <c r="J86" s="98"/>
      <c r="K86" s="26"/>
      <c r="L86" s="97"/>
      <c r="M86" s="92"/>
      <c r="N86" s="98"/>
      <c r="O86" s="26"/>
      <c r="P86" s="80"/>
      <c r="Q86" s="26"/>
    </row>
    <row r="87" spans="2:17" x14ac:dyDescent="0.2">
      <c r="B87" s="27" t="s">
        <v>62</v>
      </c>
      <c r="C87" s="26"/>
      <c r="D87" s="97"/>
      <c r="E87" s="92"/>
      <c r="F87" s="98"/>
      <c r="G87" s="26"/>
      <c r="H87" s="97"/>
      <c r="I87" s="92"/>
      <c r="J87" s="98"/>
      <c r="K87" s="26"/>
      <c r="L87" s="97"/>
      <c r="M87" s="92"/>
      <c r="N87" s="98"/>
      <c r="O87" s="26"/>
      <c r="P87" s="80"/>
      <c r="Q87" s="26"/>
    </row>
    <row r="88" spans="2:17" x14ac:dyDescent="0.2">
      <c r="B88" s="27" t="s">
        <v>63</v>
      </c>
      <c r="C88" s="26"/>
      <c r="D88" s="97"/>
      <c r="E88" s="92"/>
      <c r="F88" s="98"/>
      <c r="G88" s="26"/>
      <c r="H88" s="97"/>
      <c r="I88" s="92"/>
      <c r="J88" s="98"/>
      <c r="K88" s="26"/>
      <c r="L88" s="97"/>
      <c r="M88" s="92"/>
      <c r="N88" s="98"/>
      <c r="O88" s="26"/>
      <c r="P88" s="80"/>
      <c r="Q88" s="26"/>
    </row>
    <row r="89" spans="2:17" x14ac:dyDescent="0.2">
      <c r="B89" s="26"/>
      <c r="C89" s="26"/>
      <c r="D89" s="26"/>
      <c r="E89" s="26"/>
      <c r="F89" s="26"/>
      <c r="G89" s="26"/>
      <c r="H89" s="26"/>
      <c r="I89" s="26"/>
      <c r="J89" s="26"/>
      <c r="K89" s="26"/>
      <c r="L89" s="26"/>
      <c r="M89" s="26"/>
      <c r="N89" s="26"/>
      <c r="O89" s="26"/>
      <c r="P89" s="26"/>
      <c r="Q89" s="26"/>
    </row>
    <row r="90" spans="2:17" ht="13.5" thickBot="1" x14ac:dyDescent="0.25">
      <c r="B90" s="74" t="s">
        <v>3</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x14ac:dyDescent="0.2">
      <c r="B91" s="26"/>
      <c r="C91" s="26"/>
      <c r="D91" s="26"/>
      <c r="E91" s="26"/>
      <c r="F91" s="26"/>
      <c r="G91" s="26"/>
      <c r="H91" s="26"/>
      <c r="I91" s="26"/>
      <c r="J91" s="26"/>
      <c r="K91" s="26"/>
      <c r="L91" s="26"/>
      <c r="M91" s="26"/>
      <c r="N91" s="26"/>
      <c r="O91" s="26"/>
      <c r="P91" s="26"/>
      <c r="Q91" s="26"/>
    </row>
    <row r="92" spans="2:17" x14ac:dyDescent="0.2">
      <c r="B92" s="71" t="s">
        <v>3</v>
      </c>
      <c r="C92" s="72"/>
      <c r="D92" s="240" t="s">
        <v>0</v>
      </c>
      <c r="E92" s="240"/>
      <c r="F92" s="240"/>
      <c r="G92" s="72"/>
      <c r="H92" s="240" t="s">
        <v>1</v>
      </c>
      <c r="I92" s="240"/>
      <c r="J92" s="240"/>
      <c r="K92" s="72"/>
      <c r="L92" s="240" t="s">
        <v>2</v>
      </c>
      <c r="M92" s="240"/>
      <c r="N92" s="240"/>
      <c r="O92" s="72"/>
      <c r="P92" s="71" t="s">
        <v>48</v>
      </c>
      <c r="Q92" s="26"/>
    </row>
    <row r="93" spans="2:17" x14ac:dyDescent="0.2">
      <c r="B93" s="26"/>
      <c r="C93" s="26"/>
      <c r="D93" s="241"/>
      <c r="E93" s="241"/>
      <c r="F93" s="241"/>
      <c r="G93" s="26"/>
      <c r="H93" s="241"/>
      <c r="I93" s="241"/>
      <c r="J93" s="241"/>
      <c r="K93" s="26"/>
      <c r="L93" s="241"/>
      <c r="M93" s="241"/>
      <c r="N93" s="241"/>
      <c r="O93" s="26"/>
      <c r="P93" s="90"/>
      <c r="Q93" s="26"/>
    </row>
    <row r="94" spans="2:17" x14ac:dyDescent="0.2">
      <c r="B94" s="74" t="s">
        <v>49</v>
      </c>
      <c r="C94" s="26"/>
      <c r="D94" s="90" t="s">
        <v>50</v>
      </c>
      <c r="E94" s="90" t="s">
        <v>9</v>
      </c>
      <c r="F94" s="90" t="s">
        <v>51</v>
      </c>
      <c r="G94" s="26"/>
      <c r="H94" s="90" t="s">
        <v>50</v>
      </c>
      <c r="I94" s="90" t="s">
        <v>9</v>
      </c>
      <c r="J94" s="90" t="s">
        <v>51</v>
      </c>
      <c r="K94" s="26"/>
      <c r="L94" s="90" t="s">
        <v>50</v>
      </c>
      <c r="M94" s="90" t="s">
        <v>9</v>
      </c>
      <c r="N94" s="90" t="s">
        <v>51</v>
      </c>
      <c r="O94" s="26"/>
      <c r="P94" s="90" t="s">
        <v>51</v>
      </c>
      <c r="Q94" s="26"/>
    </row>
    <row r="95" spans="2:17" x14ac:dyDescent="0.2">
      <c r="B95" s="26"/>
      <c r="C95" s="26"/>
      <c r="D95" s="26"/>
      <c r="E95" s="26"/>
      <c r="F95" s="26"/>
      <c r="G95" s="26"/>
      <c r="H95" s="26"/>
      <c r="I95" s="26"/>
      <c r="J95" s="26"/>
      <c r="K95" s="26"/>
      <c r="L95" s="26"/>
      <c r="M95" s="26"/>
      <c r="N95" s="26"/>
      <c r="O95" s="26"/>
      <c r="P95" s="26"/>
      <c r="Q95" s="26"/>
    </row>
    <row r="96" spans="2:17" x14ac:dyDescent="0.2">
      <c r="B96" s="27" t="s">
        <v>52</v>
      </c>
      <c r="C96" s="26"/>
      <c r="D96" s="91">
        <f>D20+D39+D58+D77</f>
        <v>683349.28089883411</v>
      </c>
      <c r="E96" s="92">
        <f t="shared" ref="E96:E107" si="14">IF(D96&lt;&gt;0,F96/D96,0)</f>
        <v>7.4594307244035338</v>
      </c>
      <c r="F96" s="80">
        <f>F20+F39+F58+F77</f>
        <v>5097396.6214358239</v>
      </c>
      <c r="G96" s="26"/>
      <c r="H96" s="91">
        <f>H20+H39+H58+H77</f>
        <v>478551.00538315694</v>
      </c>
      <c r="I96" s="92">
        <f t="shared" ref="I96:I107" si="15">IF(H96&lt;&gt;0,J96/H96,0)</f>
        <v>1.0370310580968289</v>
      </c>
      <c r="J96" s="80">
        <f>J20+J39+J58+J77</f>
        <v>496272.25546579651</v>
      </c>
      <c r="K96" s="26"/>
      <c r="L96" s="91">
        <f>L20+L39+L58+L77</f>
        <v>724465.67000295408</v>
      </c>
      <c r="M96" s="92">
        <f t="shared" ref="M96:M107" si="16">IF(L96&lt;&gt;0,N96/L96,0)</f>
        <v>4.3805591818845961</v>
      </c>
      <c r="N96" s="80">
        <f>N20+N39+N58+N77</f>
        <v>3173564.7426916165</v>
      </c>
      <c r="O96" s="26"/>
      <c r="P96" s="80">
        <f t="shared" ref="P96:P107" si="17">J96+N96</f>
        <v>3669836.9981574132</v>
      </c>
      <c r="Q96" s="26"/>
    </row>
    <row r="97" spans="2:17" x14ac:dyDescent="0.2">
      <c r="B97" s="27" t="s">
        <v>53</v>
      </c>
      <c r="C97" s="26"/>
      <c r="D97" s="91">
        <f t="shared" ref="D97:D107" si="18">D21+D40+D59+D78</f>
        <v>676628.38970516995</v>
      </c>
      <c r="E97" s="92">
        <f t="shared" si="14"/>
        <v>7.4538783614523645</v>
      </c>
      <c r="F97" s="80">
        <f t="shared" ref="F97:F107" si="19">F21+F40+F59+F78</f>
        <v>5043505.7127677239</v>
      </c>
      <c r="G97" s="26"/>
      <c r="H97" s="91">
        <f t="shared" ref="H97:H107" si="20">H21+H40+H59+H78</f>
        <v>463965.67486370192</v>
      </c>
      <c r="I97" s="92">
        <f t="shared" si="15"/>
        <v>1.050289053990181</v>
      </c>
      <c r="J97" s="80">
        <f t="shared" ref="J97:J107" si="21">J21+J40+J59+J78</f>
        <v>487298.06973651343</v>
      </c>
      <c r="K97" s="26"/>
      <c r="L97" s="91">
        <f t="shared" ref="L97:L107" si="22">L21+L40+L59+L78</f>
        <v>700702.28946760413</v>
      </c>
      <c r="M97" s="92">
        <f t="shared" si="16"/>
        <v>4.3797334980554492</v>
      </c>
      <c r="N97" s="80">
        <f t="shared" ref="N97:N107" si="23">N21+N40+N59+N78</f>
        <v>3068889.2893454116</v>
      </c>
      <c r="O97" s="26"/>
      <c r="P97" s="80">
        <f t="shared" si="17"/>
        <v>3556187.3590819249</v>
      </c>
      <c r="Q97" s="26"/>
    </row>
    <row r="98" spans="2:17" x14ac:dyDescent="0.2">
      <c r="B98" s="27" t="s">
        <v>54</v>
      </c>
      <c r="C98" s="26"/>
      <c r="D98" s="91">
        <f t="shared" si="18"/>
        <v>620210.7533778185</v>
      </c>
      <c r="E98" s="92">
        <f t="shared" si="14"/>
        <v>7.4983620367807582</v>
      </c>
      <c r="F98" s="80">
        <f t="shared" si="19"/>
        <v>4650564.7679314278</v>
      </c>
      <c r="G98" s="26"/>
      <c r="H98" s="91">
        <f t="shared" si="20"/>
        <v>418372.20432705042</v>
      </c>
      <c r="I98" s="92">
        <f t="shared" si="15"/>
        <v>1.0607124695226664</v>
      </c>
      <c r="J98" s="80">
        <f t="shared" si="21"/>
        <v>443772.61403138726</v>
      </c>
      <c r="K98" s="26"/>
      <c r="L98" s="91">
        <f t="shared" si="22"/>
        <v>635148.69641328231</v>
      </c>
      <c r="M98" s="92">
        <f t="shared" si="16"/>
        <v>4.3761056314798576</v>
      </c>
      <c r="N98" s="80">
        <f t="shared" si="23"/>
        <v>2779477.7872012551</v>
      </c>
      <c r="O98" s="26"/>
      <c r="P98" s="80">
        <f t="shared" si="17"/>
        <v>3223250.4012326421</v>
      </c>
      <c r="Q98" s="26"/>
    </row>
    <row r="99" spans="2:17" x14ac:dyDescent="0.2">
      <c r="B99" s="27" t="s">
        <v>55</v>
      </c>
      <c r="C99" s="26"/>
      <c r="D99" s="91">
        <f t="shared" si="18"/>
        <v>578507.25563311239</v>
      </c>
      <c r="E99" s="92">
        <f t="shared" si="14"/>
        <v>7.526537004954065</v>
      </c>
      <c r="F99" s="80">
        <f t="shared" si="19"/>
        <v>4354156.2671570415</v>
      </c>
      <c r="G99" s="26"/>
      <c r="H99" s="91">
        <f t="shared" si="20"/>
        <v>389967.84671020618</v>
      </c>
      <c r="I99" s="92">
        <f t="shared" si="15"/>
        <v>1.0653348229047981</v>
      </c>
      <c r="J99" s="80">
        <f t="shared" si="21"/>
        <v>415446.32691358298</v>
      </c>
      <c r="K99" s="26"/>
      <c r="L99" s="91">
        <f t="shared" si="22"/>
        <v>586050.28322202736</v>
      </c>
      <c r="M99" s="92">
        <f t="shared" si="16"/>
        <v>4.3735856529873489</v>
      </c>
      <c r="N99" s="80">
        <f t="shared" si="23"/>
        <v>2563141.1106290314</v>
      </c>
      <c r="O99" s="26"/>
      <c r="P99" s="80">
        <f t="shared" si="17"/>
        <v>2978587.4375426145</v>
      </c>
      <c r="Q99" s="26"/>
    </row>
    <row r="100" spans="2:17" x14ac:dyDescent="0.2">
      <c r="B100" s="27" t="s">
        <v>56</v>
      </c>
      <c r="C100" s="26"/>
      <c r="D100" s="91">
        <f t="shared" si="18"/>
        <v>696325.07179350127</v>
      </c>
      <c r="E100" s="92">
        <f t="shared" si="14"/>
        <v>7.5403286073981066</v>
      </c>
      <c r="F100" s="80">
        <f t="shared" si="19"/>
        <v>5250519.8588930778</v>
      </c>
      <c r="G100" s="26"/>
      <c r="H100" s="91">
        <f t="shared" si="20"/>
        <v>470651.33670357044</v>
      </c>
      <c r="I100" s="92">
        <f t="shared" si="15"/>
        <v>1.0849638734292897</v>
      </c>
      <c r="J100" s="80">
        <f t="shared" si="21"/>
        <v>510639.69730457861</v>
      </c>
      <c r="K100" s="26"/>
      <c r="L100" s="91">
        <f t="shared" si="22"/>
        <v>711746.31383447349</v>
      </c>
      <c r="M100" s="92">
        <f t="shared" si="16"/>
        <v>4.3709019841679941</v>
      </c>
      <c r="N100" s="80">
        <f t="shared" si="23"/>
        <v>3110973.375363356</v>
      </c>
      <c r="O100" s="26"/>
      <c r="P100" s="80">
        <f t="shared" si="17"/>
        <v>3621613.0726679345</v>
      </c>
      <c r="Q100" s="26"/>
    </row>
    <row r="101" spans="2:17" x14ac:dyDescent="0.2">
      <c r="B101" s="27" t="s">
        <v>57</v>
      </c>
      <c r="C101" s="26"/>
      <c r="D101" s="91">
        <f t="shared" si="18"/>
        <v>835737.98564253282</v>
      </c>
      <c r="E101" s="92">
        <f t="shared" si="14"/>
        <v>7.5044906561220346</v>
      </c>
      <c r="F101" s="80">
        <f t="shared" si="19"/>
        <v>6271787.9042206388</v>
      </c>
      <c r="G101" s="26"/>
      <c r="H101" s="91">
        <f t="shared" si="20"/>
        <v>612573.16651734745</v>
      </c>
      <c r="I101" s="92">
        <f t="shared" si="15"/>
        <v>1.0763482793528099</v>
      </c>
      <c r="J101" s="80">
        <f t="shared" si="21"/>
        <v>659342.07375864917</v>
      </c>
      <c r="K101" s="26"/>
      <c r="L101" s="91">
        <f t="shared" si="22"/>
        <v>878079.87661026185</v>
      </c>
      <c r="M101" s="92">
        <f t="shared" si="16"/>
        <v>4.3735059260697691</v>
      </c>
      <c r="N101" s="80">
        <f t="shared" si="23"/>
        <v>3840287.5439175917</v>
      </c>
      <c r="O101" s="26"/>
      <c r="P101" s="80">
        <f t="shared" si="17"/>
        <v>4499629.6176762413</v>
      </c>
      <c r="Q101" s="26"/>
    </row>
    <row r="102" spans="2:17" x14ac:dyDescent="0.2">
      <c r="B102" s="27" t="s">
        <v>58</v>
      </c>
      <c r="C102" s="26"/>
      <c r="D102" s="91">
        <f t="shared" si="18"/>
        <v>862690.57963054511</v>
      </c>
      <c r="E102" s="92">
        <f t="shared" si="14"/>
        <v>7.5438925871000517</v>
      </c>
      <c r="F102" s="80">
        <f t="shared" si="19"/>
        <v>6508045.0686359163</v>
      </c>
      <c r="G102" s="26"/>
      <c r="H102" s="91">
        <f t="shared" si="20"/>
        <v>603457.8961077804</v>
      </c>
      <c r="I102" s="92">
        <f t="shared" si="15"/>
        <v>1.0888783863693725</v>
      </c>
      <c r="J102" s="80">
        <f t="shared" si="21"/>
        <v>657092.26015569642</v>
      </c>
      <c r="K102" s="26"/>
      <c r="L102" s="91">
        <f t="shared" si="22"/>
        <v>877039.19299305743</v>
      </c>
      <c r="M102" s="92">
        <f t="shared" si="16"/>
        <v>4.3704835658069001</v>
      </c>
      <c r="N102" s="80">
        <f t="shared" si="23"/>
        <v>3833085.3795447033</v>
      </c>
      <c r="O102" s="26"/>
      <c r="P102" s="80">
        <f t="shared" si="17"/>
        <v>4490177.6397003997</v>
      </c>
      <c r="Q102" s="26"/>
    </row>
    <row r="103" spans="2:17" x14ac:dyDescent="0.2">
      <c r="B103" s="27" t="s">
        <v>59</v>
      </c>
      <c r="C103" s="26"/>
      <c r="D103" s="91">
        <f t="shared" si="18"/>
        <v>880392.76284075831</v>
      </c>
      <c r="E103" s="92">
        <f t="shared" si="14"/>
        <v>7.5109685918393891</v>
      </c>
      <c r="F103" s="80">
        <f t="shared" si="19"/>
        <v>6612602.3901796397</v>
      </c>
      <c r="G103" s="26"/>
      <c r="H103" s="91">
        <f t="shared" si="20"/>
        <v>586353.60772192769</v>
      </c>
      <c r="I103" s="92">
        <f t="shared" si="15"/>
        <v>1.0884545732904765</v>
      </c>
      <c r="J103" s="80">
        <f t="shared" si="21"/>
        <v>638219.26589030225</v>
      </c>
      <c r="K103" s="26"/>
      <c r="L103" s="91">
        <f t="shared" si="22"/>
        <v>903847.95150740724</v>
      </c>
      <c r="M103" s="92">
        <f t="shared" si="16"/>
        <v>4.374127846549551</v>
      </c>
      <c r="N103" s="80">
        <f t="shared" si="23"/>
        <v>3953546.4937353185</v>
      </c>
      <c r="O103" s="26"/>
      <c r="P103" s="80">
        <f t="shared" si="17"/>
        <v>4591765.7596256211</v>
      </c>
      <c r="Q103" s="26"/>
    </row>
    <row r="104" spans="2:17" x14ac:dyDescent="0.2">
      <c r="B104" s="27" t="s">
        <v>60</v>
      </c>
      <c r="C104" s="26"/>
      <c r="D104" s="91">
        <f t="shared" si="18"/>
        <v>752206.17522258707</v>
      </c>
      <c r="E104" s="92">
        <f t="shared" si="14"/>
        <v>7.5225984793633494</v>
      </c>
      <c r="F104" s="80">
        <f t="shared" si="19"/>
        <v>5658545.0298971543</v>
      </c>
      <c r="G104" s="26"/>
      <c r="H104" s="91">
        <f t="shared" si="20"/>
        <v>490722.35725748469</v>
      </c>
      <c r="I104" s="92">
        <f t="shared" si="15"/>
        <v>1.0829922044925286</v>
      </c>
      <c r="J104" s="80">
        <f t="shared" si="21"/>
        <v>531448.48748005356</v>
      </c>
      <c r="K104" s="26"/>
      <c r="L104" s="91">
        <f t="shared" si="22"/>
        <v>755029.14280099759</v>
      </c>
      <c r="M104" s="92">
        <f t="shared" si="16"/>
        <v>4.3737225369765751</v>
      </c>
      <c r="N104" s="80">
        <f t="shared" si="23"/>
        <v>3302287.9779428281</v>
      </c>
      <c r="O104" s="26"/>
      <c r="P104" s="80">
        <f t="shared" si="17"/>
        <v>3833736.4654228818</v>
      </c>
      <c r="Q104" s="26"/>
    </row>
    <row r="105" spans="2:17" x14ac:dyDescent="0.2">
      <c r="B105" s="27" t="s">
        <v>61</v>
      </c>
      <c r="C105" s="26"/>
      <c r="D105" s="91">
        <f t="shared" si="18"/>
        <v>623201.8223898838</v>
      </c>
      <c r="E105" s="92">
        <f t="shared" si="14"/>
        <v>7.5148587342899171</v>
      </c>
      <c r="F105" s="80">
        <f t="shared" si="19"/>
        <v>4683273.6582120117</v>
      </c>
      <c r="G105" s="26"/>
      <c r="H105" s="91">
        <f t="shared" si="20"/>
        <v>467791.61576511327</v>
      </c>
      <c r="I105" s="92">
        <f t="shared" si="15"/>
        <v>1.1029858054770219</v>
      </c>
      <c r="J105" s="80">
        <f t="shared" si="21"/>
        <v>515967.51211008092</v>
      </c>
      <c r="K105" s="26"/>
      <c r="L105" s="91">
        <f t="shared" si="22"/>
        <v>643593.62853857107</v>
      </c>
      <c r="M105" s="92">
        <f t="shared" si="16"/>
        <v>4.3734015784022287</v>
      </c>
      <c r="N105" s="80">
        <f t="shared" si="23"/>
        <v>2814693.3909002044</v>
      </c>
      <c r="O105" s="26"/>
      <c r="P105" s="80">
        <f t="shared" si="17"/>
        <v>3330660.9030102855</v>
      </c>
      <c r="Q105" s="26"/>
    </row>
    <row r="106" spans="2:17" x14ac:dyDescent="0.2">
      <c r="B106" s="27" t="s">
        <v>62</v>
      </c>
      <c r="C106" s="26"/>
      <c r="D106" s="91">
        <f t="shared" si="18"/>
        <v>632369.44064206281</v>
      </c>
      <c r="E106" s="92">
        <f t="shared" si="14"/>
        <v>7.4804826082611138</v>
      </c>
      <c r="F106" s="80">
        <f t="shared" si="19"/>
        <v>4730428.6027187593</v>
      </c>
      <c r="G106" s="26"/>
      <c r="H106" s="91">
        <f t="shared" si="20"/>
        <v>428037.98359918263</v>
      </c>
      <c r="I106" s="92">
        <f t="shared" si="15"/>
        <v>1.0648856983413029</v>
      </c>
      <c r="J106" s="80">
        <f t="shared" si="21"/>
        <v>455811.52708161873</v>
      </c>
      <c r="K106" s="26"/>
      <c r="L106" s="91">
        <f t="shared" si="22"/>
        <v>615001.16838278179</v>
      </c>
      <c r="M106" s="92">
        <f t="shared" si="16"/>
        <v>4.3810725851390373</v>
      </c>
      <c r="N106" s="80">
        <f t="shared" si="23"/>
        <v>2694364.7586302822</v>
      </c>
      <c r="O106" s="26"/>
      <c r="P106" s="80">
        <f t="shared" si="17"/>
        <v>3150176.2857119008</v>
      </c>
      <c r="Q106" s="26"/>
    </row>
    <row r="107" spans="2:17" x14ac:dyDescent="0.2">
      <c r="B107" s="27" t="s">
        <v>63</v>
      </c>
      <c r="C107" s="26"/>
      <c r="D107" s="91">
        <f t="shared" si="18"/>
        <v>671789.50446311757</v>
      </c>
      <c r="E107" s="92">
        <f t="shared" si="14"/>
        <v>7.4964478302957502</v>
      </c>
      <c r="F107" s="80">
        <f t="shared" si="19"/>
        <v>5036034.9731479948</v>
      </c>
      <c r="G107" s="26"/>
      <c r="H107" s="91">
        <f t="shared" si="20"/>
        <v>493829.39251262782</v>
      </c>
      <c r="I107" s="92">
        <f t="shared" si="15"/>
        <v>1.0777132487998902</v>
      </c>
      <c r="J107" s="80">
        <f t="shared" si="21"/>
        <v>532206.47895766026</v>
      </c>
      <c r="K107" s="26"/>
      <c r="L107" s="91">
        <f t="shared" si="22"/>
        <v>677680.9463943278</v>
      </c>
      <c r="M107" s="92">
        <f t="shared" si="16"/>
        <v>4.377543713873659</v>
      </c>
      <c r="N107" s="80">
        <f t="shared" si="23"/>
        <v>2966577.9669004418</v>
      </c>
      <c r="O107" s="26"/>
      <c r="P107" s="80">
        <f t="shared" si="17"/>
        <v>3498784.4458581023</v>
      </c>
      <c r="Q107" s="26"/>
    </row>
    <row r="108" spans="2:17" x14ac:dyDescent="0.2">
      <c r="B108" s="26"/>
      <c r="C108" s="26"/>
      <c r="D108" s="26"/>
      <c r="E108" s="26"/>
      <c r="F108" s="26"/>
      <c r="G108" s="26"/>
      <c r="H108" s="26"/>
      <c r="I108" s="26"/>
      <c r="J108" s="26"/>
      <c r="K108" s="26"/>
      <c r="L108" s="26"/>
      <c r="M108" s="26"/>
      <c r="N108" s="26"/>
      <c r="O108" s="26"/>
      <c r="P108" s="80"/>
      <c r="Q108" s="26"/>
    </row>
    <row r="109" spans="2:17" ht="13.5" thickBot="1" x14ac:dyDescent="0.25">
      <c r="B109" s="74" t="s">
        <v>3</v>
      </c>
      <c r="C109" s="26"/>
      <c r="D109" s="81">
        <f>SUM(D96:D107)</f>
        <v>8513409.0222399235</v>
      </c>
      <c r="E109" s="82">
        <f>IF(D109&lt;&gt;0,F109/D109,0)</f>
        <v>7.5054376793452366</v>
      </c>
      <c r="F109" s="83">
        <f>SUM(F96:F107)</f>
        <v>63896860.855197214</v>
      </c>
      <c r="G109" s="26"/>
      <c r="H109" s="81">
        <f>SUM(H96:H107)</f>
        <v>5904274.0874691494</v>
      </c>
      <c r="I109" s="82">
        <f>IF(H109&lt;&gt;0,J109/H109,0)</f>
        <v>1.0743939855957891</v>
      </c>
      <c r="J109" s="83">
        <f>SUM(J96:J107)</f>
        <v>6343516.5688859206</v>
      </c>
      <c r="K109" s="26"/>
      <c r="L109" s="81">
        <f>SUM(L96:L107)</f>
        <v>8708385.1601677462</v>
      </c>
      <c r="M109" s="82">
        <f>IF(L109&lt;&gt;0,N109/L109,0)</f>
        <v>4.3751957585748444</v>
      </c>
      <c r="N109" s="83">
        <f>SUM(N96:N107)</f>
        <v>38100889.81680204</v>
      </c>
      <c r="O109" s="26"/>
      <c r="P109" s="83">
        <f>SUM(P96:P107)</f>
        <v>44444406.385687962</v>
      </c>
      <c r="Q109" s="26"/>
    </row>
    <row r="111" spans="2:17" x14ac:dyDescent="0.2">
      <c r="N111" s="94" t="s">
        <v>68</v>
      </c>
      <c r="P111" s="95" t="e">
        <f>#REF!</f>
        <v>#REF!</v>
      </c>
    </row>
    <row r="113" spans="14:16" ht="13.5" thickBot="1" x14ac:dyDescent="0.25">
      <c r="N113" s="96" t="s">
        <v>69</v>
      </c>
      <c r="P113" s="8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AF039-1710-4974-AC41-BE08911BD9A6}">
  <dimension ref="A3:M49"/>
  <sheetViews>
    <sheetView topLeftCell="B1" workbookViewId="0">
      <selection activeCell="J39" sqref="J39"/>
    </sheetView>
  </sheetViews>
  <sheetFormatPr defaultColWidth="9.28515625" defaultRowHeight="12.75" x14ac:dyDescent="0.2"/>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9.28515625" style="1"/>
    <col min="12" max="12" width="14.28515625" style="1" customWidth="1"/>
    <col min="13" max="13" width="12.140625" style="1" customWidth="1"/>
    <col min="14" max="16384" width="9.28515625" style="1"/>
  </cols>
  <sheetData>
    <row r="3" spans="1:13" x14ac:dyDescent="0.2">
      <c r="D3" s="100"/>
      <c r="E3" s="101"/>
      <c r="F3" s="101"/>
      <c r="G3" s="101"/>
      <c r="H3" s="102"/>
      <c r="I3" s="101"/>
      <c r="J3" s="100"/>
    </row>
    <row r="4" spans="1:13" x14ac:dyDescent="0.2">
      <c r="D4" s="100"/>
      <c r="E4" s="101"/>
      <c r="F4" s="101"/>
      <c r="G4" s="101"/>
      <c r="H4" s="102"/>
      <c r="I4" s="101"/>
      <c r="J4" s="100"/>
    </row>
    <row r="5" spans="1:13" x14ac:dyDescent="0.2">
      <c r="D5" s="100"/>
      <c r="E5" s="101"/>
      <c r="F5" s="101"/>
      <c r="G5" s="101"/>
      <c r="H5" s="102"/>
      <c r="I5" s="101"/>
      <c r="J5" s="100"/>
    </row>
    <row r="6" spans="1:13" x14ac:dyDescent="0.2">
      <c r="D6" s="100"/>
      <c r="E6" s="101"/>
      <c r="F6" s="101"/>
      <c r="G6" s="101"/>
      <c r="H6" s="102"/>
      <c r="I6" s="101"/>
      <c r="J6" s="100"/>
    </row>
    <row r="7" spans="1:13" x14ac:dyDescent="0.2">
      <c r="D7" s="100"/>
      <c r="E7" s="101"/>
      <c r="F7" s="101"/>
      <c r="G7" s="101"/>
      <c r="H7" s="102"/>
      <c r="I7" s="101"/>
      <c r="J7" s="100"/>
    </row>
    <row r="8" spans="1:13" x14ac:dyDescent="0.2">
      <c r="D8" s="100"/>
      <c r="E8" s="101"/>
      <c r="F8" s="101"/>
      <c r="G8" s="101"/>
      <c r="H8" s="102"/>
      <c r="I8" s="101"/>
      <c r="J8" s="100"/>
    </row>
    <row r="9" spans="1:13" x14ac:dyDescent="0.2">
      <c r="D9" s="100"/>
      <c r="E9" s="101"/>
      <c r="F9" s="101"/>
      <c r="G9" s="101"/>
      <c r="H9" s="102"/>
      <c r="I9" s="101"/>
      <c r="J9" s="100"/>
    </row>
    <row r="10" spans="1:13" x14ac:dyDescent="0.2">
      <c r="D10" s="100"/>
      <c r="E10" s="101"/>
      <c r="F10" s="101"/>
      <c r="G10" s="101"/>
      <c r="H10" s="102"/>
      <c r="I10" s="101"/>
      <c r="J10" s="100"/>
    </row>
    <row r="11" spans="1:13" x14ac:dyDescent="0.2">
      <c r="D11" s="100"/>
      <c r="E11" s="101"/>
      <c r="F11" s="101"/>
      <c r="G11" s="101"/>
      <c r="H11" s="102"/>
      <c r="I11" s="101"/>
      <c r="J11" s="100"/>
    </row>
    <row r="12" spans="1:13" x14ac:dyDescent="0.2">
      <c r="D12" s="100"/>
      <c r="E12" s="101"/>
      <c r="F12" s="101"/>
      <c r="G12" s="101"/>
      <c r="H12" s="102"/>
      <c r="I12" s="101"/>
      <c r="J12" s="100"/>
    </row>
    <row r="13" spans="1:13" ht="15.75" x14ac:dyDescent="0.25">
      <c r="A13" s="103" t="s">
        <v>71</v>
      </c>
      <c r="D13" s="100"/>
      <c r="E13" s="101"/>
      <c r="F13" s="101"/>
      <c r="G13" s="101"/>
      <c r="H13" s="102"/>
      <c r="I13" s="101"/>
      <c r="J13" s="100"/>
    </row>
    <row r="14" spans="1:13" x14ac:dyDescent="0.2">
      <c r="D14" s="100"/>
      <c r="E14" s="101"/>
      <c r="F14" s="101"/>
      <c r="G14" s="101"/>
      <c r="H14" s="102"/>
      <c r="I14" s="101"/>
      <c r="J14" s="100"/>
    </row>
    <row r="15" spans="1:13" ht="47.25" x14ac:dyDescent="0.2">
      <c r="A15" s="104" t="s">
        <v>6</v>
      </c>
      <c r="B15" s="104" t="s">
        <v>7</v>
      </c>
      <c r="C15" s="105" t="s">
        <v>8</v>
      </c>
      <c r="D15" s="106" t="s">
        <v>72</v>
      </c>
      <c r="E15" s="107" t="s">
        <v>13</v>
      </c>
      <c r="F15" s="108" t="s">
        <v>73</v>
      </c>
      <c r="G15" s="109" t="s">
        <v>74</v>
      </c>
      <c r="H15" s="110" t="s">
        <v>75</v>
      </c>
      <c r="I15" s="108" t="s">
        <v>76</v>
      </c>
      <c r="J15" s="111" t="s">
        <v>77</v>
      </c>
    </row>
    <row r="16" spans="1:13" x14ac:dyDescent="0.2">
      <c r="G16" s="112"/>
      <c r="M16" s="118"/>
    </row>
    <row r="17" spans="1:13" x14ac:dyDescent="0.2">
      <c r="A17" s="1" t="s">
        <v>14</v>
      </c>
      <c r="B17" s="1" t="s">
        <v>15</v>
      </c>
      <c r="C17" s="99" t="s">
        <v>16</v>
      </c>
      <c r="D17" s="100">
        <f>'8. RTSR Rates to Forecast 2029'!J17</f>
        <v>1.4E-2</v>
      </c>
      <c r="E17" s="112">
        <f>'3. RRR Data 2030'!H17</f>
        <v>1643507419.4333267</v>
      </c>
      <c r="F17" s="112">
        <f>'3. RRR Data 2030'!F17</f>
        <v>0</v>
      </c>
      <c r="G17" s="112">
        <f>IF(D17*E17=0,ROUND(D17*F17,2),ROUND(D17*E17,2))</f>
        <v>23009103.870000001</v>
      </c>
      <c r="H17" s="113">
        <f t="shared" ref="H17:H28" si="0">G17/$G$28</f>
        <v>0.38519997375596166</v>
      </c>
      <c r="I17" s="112">
        <f>H17*$I$28</f>
        <v>24613069.124510296</v>
      </c>
      <c r="J17" s="100">
        <f>IF(I17*E17=0,ROUND(I17/F17,4),ROUND(I17/E17,4))</f>
        <v>1.4999999999999999E-2</v>
      </c>
      <c r="K17" s="121"/>
      <c r="L17" s="124"/>
      <c r="M17" s="118"/>
    </row>
    <row r="18" spans="1:13" x14ac:dyDescent="0.2">
      <c r="A18" s="1" t="s">
        <v>18</v>
      </c>
      <c r="B18" s="1" t="s">
        <v>15</v>
      </c>
      <c r="C18" s="99" t="s">
        <v>16</v>
      </c>
      <c r="D18" s="100">
        <f>'8. RTSR Rates to Forecast 2029'!J18</f>
        <v>1.41E-2</v>
      </c>
      <c r="E18" s="112">
        <f>'3. RRR Data 2030'!H19</f>
        <v>14989506.256068924</v>
      </c>
      <c r="F18" s="112">
        <f>'3. RRR Data 2030'!F19</f>
        <v>0</v>
      </c>
      <c r="G18" s="112">
        <f t="shared" ref="G18:G27" si="1">IF(D18*E18=0,ROUND(D18*F18,2),ROUND(D18*E18,2))</f>
        <v>211352.04</v>
      </c>
      <c r="H18" s="113">
        <f t="shared" si="0"/>
        <v>3.5382864418034791E-3</v>
      </c>
      <c r="I18" s="112">
        <f t="shared" ref="I18:I27" si="2">H18*$I$28</f>
        <v>226085.39643774772</v>
      </c>
      <c r="J18" s="100">
        <f t="shared" ref="J18:J27" si="3">IF(I18*E18=0,ROUND(I18/F18,4),ROUND(I18/E18,4))</f>
        <v>1.5100000000000001E-2</v>
      </c>
      <c r="K18" s="121"/>
      <c r="L18" s="124"/>
      <c r="M18" s="118"/>
    </row>
    <row r="19" spans="1:13" x14ac:dyDescent="0.2">
      <c r="A19" s="1" t="s">
        <v>19</v>
      </c>
      <c r="B19" s="1" t="s">
        <v>15</v>
      </c>
      <c r="C19" s="99" t="s">
        <v>16</v>
      </c>
      <c r="D19" s="100">
        <f>'8. RTSR Rates to Forecast 2029'!J19</f>
        <v>1.2699999999999999E-2</v>
      </c>
      <c r="E19" s="112">
        <f>'3. RRR Data 2030'!H21</f>
        <v>370099634.67016971</v>
      </c>
      <c r="F19" s="112">
        <f>'3. RRR Data 2030'!F21</f>
        <v>0</v>
      </c>
      <c r="G19" s="112">
        <f t="shared" si="1"/>
        <v>4700265.3600000003</v>
      </c>
      <c r="H19" s="113">
        <f t="shared" si="0"/>
        <v>7.8688075100512622E-2</v>
      </c>
      <c r="I19" s="112">
        <f t="shared" si="2"/>
        <v>5027920.9856607625</v>
      </c>
      <c r="J19" s="100">
        <f t="shared" si="3"/>
        <v>1.3599999999999999E-2</v>
      </c>
      <c r="K19" s="121"/>
      <c r="L19" s="124"/>
      <c r="M19" s="118"/>
    </row>
    <row r="20" spans="1:13" x14ac:dyDescent="0.2">
      <c r="A20" s="1" t="s">
        <v>20</v>
      </c>
      <c r="B20" s="1" t="s">
        <v>15</v>
      </c>
      <c r="C20" s="99" t="s">
        <v>21</v>
      </c>
      <c r="D20" s="100">
        <f>'8. RTSR Rates to Forecast 2029'!J20</f>
        <v>5.8823999999999996</v>
      </c>
      <c r="E20" s="112"/>
      <c r="F20" s="112">
        <f>'3. RRR Data 2030'!F23</f>
        <v>3324315.753665213</v>
      </c>
      <c r="G20" s="112">
        <f t="shared" si="1"/>
        <v>19554954.989999998</v>
      </c>
      <c r="H20" s="113">
        <f t="shared" si="0"/>
        <v>0.32737338192332693</v>
      </c>
      <c r="I20" s="112">
        <f t="shared" si="2"/>
        <v>20918131.432450153</v>
      </c>
      <c r="J20" s="100">
        <f t="shared" si="3"/>
        <v>6.2925000000000004</v>
      </c>
      <c r="K20" s="121"/>
      <c r="L20" s="124"/>
      <c r="M20" s="118"/>
    </row>
    <row r="21" spans="1:13" x14ac:dyDescent="0.2">
      <c r="A21" s="1" t="s">
        <v>20</v>
      </c>
      <c r="B21" s="1" t="s">
        <v>22</v>
      </c>
      <c r="C21" s="99" t="s">
        <v>21</v>
      </c>
      <c r="D21" s="100">
        <f>'8. RTSR Rates to Forecast 2029'!J21</f>
        <v>1.0036</v>
      </c>
      <c r="E21" s="112"/>
      <c r="F21" s="112">
        <f>'3. RRR Data 2030'!F25</f>
        <v>36877.637657270949</v>
      </c>
      <c r="G21" s="112">
        <f t="shared" si="1"/>
        <v>37010.400000000001</v>
      </c>
      <c r="H21" s="113">
        <f t="shared" si="0"/>
        <v>6.1959845065003146E-4</v>
      </c>
      <c r="I21" s="112">
        <f t="shared" si="2"/>
        <v>39590.395987280834</v>
      </c>
      <c r="J21" s="100">
        <f t="shared" si="3"/>
        <v>1.0736000000000001</v>
      </c>
      <c r="K21" s="121"/>
      <c r="L21" s="124"/>
      <c r="M21" s="118"/>
    </row>
    <row r="22" spans="1:13" x14ac:dyDescent="0.2">
      <c r="A22" s="1" t="s">
        <v>24</v>
      </c>
      <c r="B22" s="1" t="s">
        <v>15</v>
      </c>
      <c r="C22" s="99" t="s">
        <v>21</v>
      </c>
      <c r="D22" s="100">
        <f>'8. RTSR Rates to Forecast 2029'!J22</f>
        <v>6.2343999999999999</v>
      </c>
      <c r="E22" s="112"/>
      <c r="F22" s="112">
        <f>'3. RRR Data 2030'!F27</f>
        <v>744000.60861029197</v>
      </c>
      <c r="G22" s="112">
        <f t="shared" si="1"/>
        <v>4638397.3899999997</v>
      </c>
      <c r="H22" s="113">
        <f t="shared" si="0"/>
        <v>7.7652331137819358E-2</v>
      </c>
      <c r="I22" s="112">
        <f t="shared" si="2"/>
        <v>4961740.1977949413</v>
      </c>
      <c r="J22" s="100">
        <f t="shared" si="3"/>
        <v>6.6689999999999996</v>
      </c>
      <c r="K22" s="121"/>
      <c r="L22" s="124"/>
      <c r="M22" s="118"/>
    </row>
    <row r="23" spans="1:13" x14ac:dyDescent="0.2">
      <c r="A23" s="1" t="s">
        <v>24</v>
      </c>
      <c r="B23" s="1" t="s">
        <v>22</v>
      </c>
      <c r="C23" s="99" t="s">
        <v>21</v>
      </c>
      <c r="D23" s="100">
        <f>'8. RTSR Rates to Forecast 2029'!J23</f>
        <v>1.0598480000000001</v>
      </c>
      <c r="E23" s="112"/>
      <c r="F23" s="112"/>
      <c r="G23" s="112"/>
      <c r="H23" s="113">
        <f t="shared" si="0"/>
        <v>0</v>
      </c>
      <c r="I23" s="112">
        <f t="shared" si="2"/>
        <v>0</v>
      </c>
      <c r="J23" s="100">
        <f>J22*0.17</f>
        <v>1.1337299999999999</v>
      </c>
      <c r="K23" s="121"/>
      <c r="L23" s="124"/>
      <c r="M23" s="118"/>
    </row>
    <row r="24" spans="1:13" x14ac:dyDescent="0.2">
      <c r="A24" s="1" t="s">
        <v>27</v>
      </c>
      <c r="B24" s="1" t="s">
        <v>15</v>
      </c>
      <c r="C24" s="99" t="s">
        <v>21</v>
      </c>
      <c r="D24" s="100">
        <f>'8. RTSR Rates to Forecast 2029'!J24</f>
        <v>6.6435000000000004</v>
      </c>
      <c r="E24" s="112"/>
      <c r="F24" s="112">
        <f>'3. RRR Data 2030'!F31</f>
        <v>1100817.9804563506</v>
      </c>
      <c r="G24" s="112">
        <f t="shared" si="1"/>
        <v>7313284.25</v>
      </c>
      <c r="H24" s="113">
        <f t="shared" si="0"/>
        <v>0.12243314285885257</v>
      </c>
      <c r="I24" s="112">
        <f t="shared" si="2"/>
        <v>7823093.4933165843</v>
      </c>
      <c r="J24" s="100">
        <f t="shared" si="3"/>
        <v>7.1066000000000003</v>
      </c>
      <c r="K24" s="121"/>
      <c r="L24" s="124"/>
      <c r="M24" s="118"/>
    </row>
    <row r="25" spans="1:13" x14ac:dyDescent="0.2">
      <c r="A25" s="1" t="s">
        <v>28</v>
      </c>
      <c r="B25" s="1" t="s">
        <v>15</v>
      </c>
      <c r="C25" s="99" t="s">
        <v>16</v>
      </c>
      <c r="D25" s="100">
        <f>'8. RTSR Rates to Forecast 2029'!J25</f>
        <v>1.2800000000000001E-2</v>
      </c>
      <c r="E25" s="112">
        <f>'3. RRR Data 2030'!H33</f>
        <v>6658374.2100723153</v>
      </c>
      <c r="F25" s="112">
        <f>'3. RRR Data 2030'!F33</f>
        <v>0</v>
      </c>
      <c r="G25" s="112">
        <f t="shared" si="1"/>
        <v>85227.19</v>
      </c>
      <c r="H25" s="113">
        <f t="shared" si="0"/>
        <v>1.4268053000577095E-3</v>
      </c>
      <c r="I25" s="112">
        <f t="shared" si="2"/>
        <v>91168.379725245366</v>
      </c>
      <c r="J25" s="100">
        <f t="shared" si="3"/>
        <v>1.37E-2</v>
      </c>
      <c r="K25" s="121"/>
      <c r="L25" s="124"/>
      <c r="M25" s="118"/>
    </row>
    <row r="26" spans="1:13" x14ac:dyDescent="0.2">
      <c r="A26" s="1" t="s">
        <v>29</v>
      </c>
      <c r="B26" s="1" t="s">
        <v>15</v>
      </c>
      <c r="C26" s="99" t="s">
        <v>21</v>
      </c>
      <c r="D26" s="100">
        <f>'8. RTSR Rates to Forecast 2029'!J26</f>
        <v>3.8125</v>
      </c>
      <c r="E26" s="112"/>
      <c r="F26" s="112">
        <f>'3. RRR Data 2030'!F35</f>
        <v>625.44345118936644</v>
      </c>
      <c r="G26" s="112">
        <f t="shared" si="1"/>
        <v>2384.5</v>
      </c>
      <c r="H26" s="113">
        <f t="shared" si="0"/>
        <v>3.9919387674140242E-5</v>
      </c>
      <c r="I26" s="112">
        <f t="shared" si="2"/>
        <v>2550.7235596392134</v>
      </c>
      <c r="J26" s="100">
        <f t="shared" si="3"/>
        <v>4.0782999999999996</v>
      </c>
      <c r="K26" s="121"/>
      <c r="L26" s="124"/>
      <c r="M26" s="118"/>
    </row>
    <row r="27" spans="1:13" x14ac:dyDescent="0.2">
      <c r="A27" s="1" t="s">
        <v>30</v>
      </c>
      <c r="B27" s="1" t="s">
        <v>15</v>
      </c>
      <c r="C27" s="99" t="s">
        <v>21</v>
      </c>
      <c r="D27" s="100">
        <f>'8. RTSR Rates to Forecast 2029'!J27</f>
        <v>4.0016999999999996</v>
      </c>
      <c r="E27" s="112"/>
      <c r="F27" s="112">
        <f>'3. RRR Data 2030'!F37</f>
        <v>45205.829194696213</v>
      </c>
      <c r="G27" s="112">
        <f t="shared" si="1"/>
        <v>180900.17</v>
      </c>
      <c r="H27" s="113">
        <f t="shared" si="0"/>
        <v>3.0284856433415285E-3</v>
      </c>
      <c r="I27" s="112">
        <f t="shared" si="2"/>
        <v>193510.72575455604</v>
      </c>
      <c r="J27" s="100">
        <f t="shared" si="3"/>
        <v>4.2807000000000004</v>
      </c>
      <c r="K27" s="121"/>
      <c r="L27" s="124"/>
      <c r="M27" s="118"/>
    </row>
    <row r="28" spans="1:13" x14ac:dyDescent="0.2">
      <c r="D28" s="100"/>
      <c r="E28" s="112"/>
      <c r="F28" s="112"/>
      <c r="G28" s="112">
        <f>SUM(G17:G27)</f>
        <v>59732880.159999996</v>
      </c>
      <c r="H28" s="113">
        <f t="shared" si="0"/>
        <v>1</v>
      </c>
      <c r="I28" s="112">
        <f>'7. Forecast Wholesale 2030'!F33+'7. Forecast Wholesale 2030'!F52</f>
        <v>63896860.855197206</v>
      </c>
      <c r="J28" s="100"/>
    </row>
    <row r="30" spans="1:13" ht="15.75" x14ac:dyDescent="0.25">
      <c r="A30" s="103" t="s">
        <v>78</v>
      </c>
    </row>
    <row r="31" spans="1:13" ht="47.25" x14ac:dyDescent="0.2">
      <c r="A31" s="104" t="s">
        <v>6</v>
      </c>
      <c r="B31" s="104" t="s">
        <v>7</v>
      </c>
      <c r="C31" s="105" t="s">
        <v>8</v>
      </c>
      <c r="D31" s="106" t="s">
        <v>79</v>
      </c>
      <c r="E31" s="107" t="s">
        <v>13</v>
      </c>
      <c r="F31" s="108" t="s">
        <v>73</v>
      </c>
      <c r="G31" s="109" t="s">
        <v>74</v>
      </c>
      <c r="H31" s="110" t="s">
        <v>75</v>
      </c>
      <c r="I31" s="108" t="s">
        <v>76</v>
      </c>
      <c r="J31" s="111" t="s">
        <v>80</v>
      </c>
    </row>
    <row r="33" spans="1:13" x14ac:dyDescent="0.2">
      <c r="A33" s="1" t="s">
        <v>14</v>
      </c>
      <c r="B33" s="1" t="s">
        <v>17</v>
      </c>
      <c r="C33" s="99" t="s">
        <v>16</v>
      </c>
      <c r="D33" s="100">
        <f>'8. RTSR Rates to Forecast 2029'!J33</f>
        <v>1.01E-2</v>
      </c>
      <c r="E33" s="112">
        <f>'3. RRR Data 2030'!H18</f>
        <v>1643507419.4333267</v>
      </c>
      <c r="F33" s="112">
        <f>'3. RRR Data 2030'!F18</f>
        <v>0</v>
      </c>
      <c r="G33" s="112">
        <f>IF(D33*E33=0,ROUND(D33*F33,2),ROUND(D33*E33,2))</f>
        <v>16599424.939999999</v>
      </c>
      <c r="H33" s="113">
        <f>G33/$G$44</f>
        <v>0.39905968933102492</v>
      </c>
      <c r="I33" s="112">
        <f>H33*$I$44</f>
        <v>17735971.004774459</v>
      </c>
      <c r="J33" s="100">
        <f t="shared" ref="J33:J43" si="4">IF(I33*E33=0,ROUND(I33/F33,4),ROUND(I33/E33,4))</f>
        <v>1.0800000000000001E-2</v>
      </c>
      <c r="K33" s="121"/>
      <c r="L33" s="124"/>
      <c r="M33" s="118"/>
    </row>
    <row r="34" spans="1:13" x14ac:dyDescent="0.2">
      <c r="A34" s="1" t="s">
        <v>18</v>
      </c>
      <c r="B34" s="1" t="s">
        <v>17</v>
      </c>
      <c r="C34" s="99" t="s">
        <v>16</v>
      </c>
      <c r="D34" s="100">
        <f>'8. RTSR Rates to Forecast 2029'!J34</f>
        <v>1.23E-2</v>
      </c>
      <c r="E34" s="112">
        <f>'3. RRR Data 2030'!H20</f>
        <v>14989506.256068924</v>
      </c>
      <c r="F34" s="112">
        <f>'3. RRR Data 2030'!F20</f>
        <v>0</v>
      </c>
      <c r="G34" s="112">
        <f t="shared" ref="G34:G43" si="5">IF(D34*E34=0,ROUND(D34*F34,2),ROUND(D34*E34,2))</f>
        <v>184370.93</v>
      </c>
      <c r="H34" s="113">
        <f t="shared" ref="H34:H43" si="6">G34/$G$44</f>
        <v>4.4323828273217366E-3</v>
      </c>
      <c r="I34" s="112">
        <f>H34*$I$44</f>
        <v>196994.62363443186</v>
      </c>
      <c r="J34" s="100">
        <f t="shared" si="4"/>
        <v>1.3100000000000001E-2</v>
      </c>
      <c r="K34" s="121"/>
      <c r="L34" s="124"/>
      <c r="M34" s="118"/>
    </row>
    <row r="35" spans="1:13" x14ac:dyDescent="0.2">
      <c r="A35" s="1" t="s">
        <v>19</v>
      </c>
      <c r="B35" s="1" t="s">
        <v>17</v>
      </c>
      <c r="C35" s="99" t="s">
        <v>16</v>
      </c>
      <c r="D35" s="100">
        <f>'8. RTSR Rates to Forecast 2029'!J35</f>
        <v>9.4999999999999998E-3</v>
      </c>
      <c r="E35" s="112">
        <f>'3. RRR Data 2030'!H22</f>
        <v>370099634.67016971</v>
      </c>
      <c r="F35" s="112">
        <f>'3. RRR Data 2030'!F22</f>
        <v>0</v>
      </c>
      <c r="G35" s="112">
        <f t="shared" si="5"/>
        <v>3515946.53</v>
      </c>
      <c r="H35" s="113">
        <f t="shared" si="6"/>
        <v>8.4525369706349301E-2</v>
      </c>
      <c r="I35" s="112">
        <f>H35*$I$44</f>
        <v>3756679.8811295065</v>
      </c>
      <c r="J35" s="100">
        <f t="shared" si="4"/>
        <v>1.0200000000000001E-2</v>
      </c>
      <c r="K35" s="121"/>
      <c r="L35" s="124"/>
      <c r="M35" s="118"/>
    </row>
    <row r="36" spans="1:13" x14ac:dyDescent="0.2">
      <c r="A36" s="1" t="s">
        <v>20</v>
      </c>
      <c r="B36" s="1" t="s">
        <v>17</v>
      </c>
      <c r="C36" s="99" t="s">
        <v>21</v>
      </c>
      <c r="D36" s="100">
        <f>'8. RTSR Rates to Forecast 2029'!J36</f>
        <v>4.1719999999999997</v>
      </c>
      <c r="E36" s="112"/>
      <c r="F36" s="112">
        <f>'3. RRR Data 2030'!F24</f>
        <v>3324315.753665213</v>
      </c>
      <c r="G36" s="112">
        <f t="shared" si="5"/>
        <v>13869045.32</v>
      </c>
      <c r="H36" s="113">
        <f t="shared" si="6"/>
        <v>0.33341979837990132</v>
      </c>
      <c r="I36" s="112">
        <f t="shared" ref="I36:I43" si="7">H36*$I$44</f>
        <v>14818645.016230479</v>
      </c>
      <c r="J36" s="100">
        <f t="shared" si="4"/>
        <v>4.4577</v>
      </c>
      <c r="K36" s="121"/>
      <c r="L36" s="124"/>
      <c r="M36" s="118"/>
    </row>
    <row r="37" spans="1:13" x14ac:dyDescent="0.2">
      <c r="A37" s="1" t="s">
        <v>20</v>
      </c>
      <c r="B37" s="1" t="s">
        <v>23</v>
      </c>
      <c r="C37" s="99" t="s">
        <v>21</v>
      </c>
      <c r="D37" s="100">
        <f>'8. RTSR Rates to Forecast 2029'!J37</f>
        <v>0.70860000000000001</v>
      </c>
      <c r="E37" s="112"/>
      <c r="F37" s="112">
        <f>'3. RRR Data 2030'!F26</f>
        <v>36877.637657270949</v>
      </c>
      <c r="G37" s="112">
        <f t="shared" si="5"/>
        <v>26131.49</v>
      </c>
      <c r="H37" s="113">
        <f t="shared" si="6"/>
        <v>6.2821599656914297E-4</v>
      </c>
      <c r="I37" s="112">
        <f t="shared" si="7"/>
        <v>27920.687049508946</v>
      </c>
      <c r="J37" s="100">
        <f t="shared" si="4"/>
        <v>0.7571</v>
      </c>
      <c r="K37" s="121"/>
      <c r="L37" s="124"/>
      <c r="M37" s="118"/>
    </row>
    <row r="38" spans="1:13" x14ac:dyDescent="0.2">
      <c r="A38" s="1" t="s">
        <v>24</v>
      </c>
      <c r="B38" s="1" t="s">
        <v>25</v>
      </c>
      <c r="C38" s="99" t="s">
        <v>21</v>
      </c>
      <c r="D38" s="100">
        <f>'8. RTSR Rates to Forecast 2029'!J38</f>
        <v>2.9478</v>
      </c>
      <c r="E38" s="112"/>
      <c r="F38" s="112">
        <f>'3. RRR Data 2030'!F28</f>
        <v>744000.60861029197</v>
      </c>
      <c r="G38" s="112">
        <f t="shared" si="5"/>
        <v>2193164.9900000002</v>
      </c>
      <c r="H38" s="113">
        <f t="shared" si="6"/>
        <v>5.272494334740975E-2</v>
      </c>
      <c r="I38" s="112">
        <f t="shared" si="7"/>
        <v>2343328.808794654</v>
      </c>
      <c r="J38" s="100">
        <f t="shared" si="4"/>
        <v>3.1496</v>
      </c>
      <c r="K38" s="121"/>
      <c r="L38" s="124"/>
      <c r="M38" s="118"/>
    </row>
    <row r="39" spans="1:13" x14ac:dyDescent="0.2">
      <c r="A39" s="1" t="s">
        <v>24</v>
      </c>
      <c r="B39" s="1" t="s">
        <v>26</v>
      </c>
      <c r="C39" s="99" t="s">
        <v>21</v>
      </c>
      <c r="D39" s="100">
        <f>'8. RTSR Rates to Forecast 2029'!J39</f>
        <v>0.50112600000000007</v>
      </c>
      <c r="E39" s="112"/>
      <c r="F39" s="112"/>
      <c r="G39" s="112"/>
      <c r="H39" s="113">
        <f t="shared" si="6"/>
        <v>0</v>
      </c>
      <c r="I39" s="112">
        <f t="shared" si="7"/>
        <v>0</v>
      </c>
      <c r="J39" s="100">
        <f>J38*0.17</f>
        <v>0.53543200000000002</v>
      </c>
      <c r="K39" s="121"/>
      <c r="L39" s="124"/>
      <c r="M39" s="118"/>
    </row>
    <row r="40" spans="1:13" x14ac:dyDescent="0.2">
      <c r="A40" s="1" t="s">
        <v>27</v>
      </c>
      <c r="B40" s="1" t="s">
        <v>25</v>
      </c>
      <c r="C40" s="99" t="s">
        <v>21</v>
      </c>
      <c r="D40" s="100">
        <f>'8. RTSR Rates to Forecast 2029'!J40</f>
        <v>4.5544000000000002</v>
      </c>
      <c r="E40" s="112"/>
      <c r="F40" s="112">
        <f>'3. RRR Data 2030'!F32</f>
        <v>1100817.9804563506</v>
      </c>
      <c r="G40" s="112">
        <f t="shared" si="5"/>
        <v>5013565.41</v>
      </c>
      <c r="H40" s="113">
        <f>G40/$G$44</f>
        <v>0.12052898592494088</v>
      </c>
      <c r="I40" s="112">
        <f t="shared" si="7"/>
        <v>5356839.2317029368</v>
      </c>
      <c r="J40" s="100">
        <f t="shared" si="4"/>
        <v>4.8662000000000001</v>
      </c>
      <c r="K40" s="121"/>
      <c r="L40" s="124"/>
      <c r="M40" s="118"/>
    </row>
    <row r="41" spans="1:13" x14ac:dyDescent="0.2">
      <c r="A41" s="1" t="s">
        <v>28</v>
      </c>
      <c r="B41" s="1" t="s">
        <v>17</v>
      </c>
      <c r="C41" s="99" t="s">
        <v>16</v>
      </c>
      <c r="D41" s="100">
        <f>'8. RTSR Rates to Forecast 2029'!J41</f>
        <v>9.5999999999999992E-3</v>
      </c>
      <c r="E41" s="112">
        <f>'3. RRR Data 2030'!H34</f>
        <v>6658374.2100723153</v>
      </c>
      <c r="F41" s="112">
        <f>'3. RRR Data 2030'!F34</f>
        <v>0</v>
      </c>
      <c r="G41" s="112">
        <f t="shared" si="5"/>
        <v>63920.39</v>
      </c>
      <c r="H41" s="113">
        <f t="shared" si="6"/>
        <v>1.5366828108515156E-3</v>
      </c>
      <c r="I41" s="112">
        <f t="shared" si="7"/>
        <v>68296.955331386023</v>
      </c>
      <c r="J41" s="100">
        <f t="shared" si="4"/>
        <v>1.03E-2</v>
      </c>
      <c r="K41" s="121"/>
      <c r="L41" s="124"/>
      <c r="M41" s="118"/>
    </row>
    <row r="42" spans="1:13" x14ac:dyDescent="0.2">
      <c r="A42" s="1" t="s">
        <v>29</v>
      </c>
      <c r="B42" s="1" t="s">
        <v>17</v>
      </c>
      <c r="C42" s="99" t="s">
        <v>21</v>
      </c>
      <c r="D42" s="100">
        <f>'8. RTSR Rates to Forecast 2029'!J42</f>
        <v>2.7033999999999998</v>
      </c>
      <c r="E42" s="112"/>
      <c r="F42" s="112">
        <f>'3. RRR Data 2030'!F36</f>
        <v>625.44345118936644</v>
      </c>
      <c r="G42" s="112">
        <f t="shared" si="5"/>
        <v>1690.82</v>
      </c>
      <c r="H42" s="113">
        <f t="shared" si="6"/>
        <v>4.0648281874437245E-5</v>
      </c>
      <c r="I42" s="112">
        <f t="shared" si="7"/>
        <v>1806.5887585074829</v>
      </c>
      <c r="J42" s="100">
        <f t="shared" si="4"/>
        <v>2.8885000000000001</v>
      </c>
      <c r="K42" s="121"/>
      <c r="L42" s="124"/>
      <c r="M42" s="118"/>
    </row>
    <row r="43" spans="1:13" x14ac:dyDescent="0.2">
      <c r="A43" s="1" t="s">
        <v>30</v>
      </c>
      <c r="B43" s="1" t="s">
        <v>17</v>
      </c>
      <c r="C43" s="99" t="s">
        <v>21</v>
      </c>
      <c r="D43" s="100">
        <f>'8. RTSR Rates to Forecast 2029'!J43</f>
        <v>2.8555000000000001</v>
      </c>
      <c r="E43" s="112"/>
      <c r="F43" s="112">
        <f>'3. RRR Data 2030'!F38</f>
        <v>45205.829194696213</v>
      </c>
      <c r="G43" s="112">
        <f t="shared" si="5"/>
        <v>129085.25</v>
      </c>
      <c r="H43" s="113">
        <f t="shared" si="6"/>
        <v>3.1032833937569941E-3</v>
      </c>
      <c r="I43" s="112">
        <f t="shared" si="7"/>
        <v>137923.58828209277</v>
      </c>
      <c r="J43" s="100">
        <f t="shared" si="4"/>
        <v>3.0510000000000002</v>
      </c>
      <c r="K43" s="121"/>
      <c r="L43" s="124"/>
      <c r="M43" s="118"/>
    </row>
    <row r="44" spans="1:13" x14ac:dyDescent="0.2">
      <c r="D44" s="100"/>
      <c r="E44" s="112"/>
      <c r="F44" s="112"/>
      <c r="G44" s="112">
        <f>SUM(G33:G43)</f>
        <v>41596346.07</v>
      </c>
      <c r="H44" s="113"/>
      <c r="I44" s="112">
        <f>'7. Forecast Wholesale 2030'!P33+'7. Forecast Wholesale 2030'!P52</f>
        <v>44444406.385687962</v>
      </c>
      <c r="J44" s="100"/>
    </row>
    <row r="46" spans="1:13" x14ac:dyDescent="0.2">
      <c r="D46" s="100"/>
      <c r="E46" s="112"/>
      <c r="F46" s="112"/>
      <c r="G46" s="112"/>
      <c r="H46" s="113"/>
      <c r="I46" s="112"/>
      <c r="J46" s="114"/>
    </row>
    <row r="47" spans="1:13" x14ac:dyDescent="0.2">
      <c r="D47" s="100"/>
      <c r="E47" s="112"/>
      <c r="F47" s="112"/>
      <c r="G47" s="112"/>
      <c r="H47" s="113"/>
      <c r="I47" s="112"/>
      <c r="J47" s="114"/>
    </row>
    <row r="48" spans="1:13" x14ac:dyDescent="0.2">
      <c r="D48" s="100"/>
      <c r="E48" s="112"/>
      <c r="F48" s="112"/>
      <c r="G48" s="112"/>
      <c r="H48" s="113"/>
      <c r="I48" s="112"/>
      <c r="J48" s="114"/>
    </row>
    <row r="49" spans="4:10" x14ac:dyDescent="0.2">
      <c r="D49" s="100"/>
      <c r="E49" s="112"/>
      <c r="F49" s="112"/>
      <c r="G49" s="112"/>
      <c r="H49" s="113"/>
      <c r="I49" s="112"/>
      <c r="J49" s="114"/>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5272-ADF7-4720-B00B-7AAF5FC4DB3B}">
  <dimension ref="A13:Q113"/>
  <sheetViews>
    <sheetView topLeftCell="B20" workbookViewId="0">
      <selection activeCell="H44" sqref="H44"/>
    </sheetView>
  </sheetViews>
  <sheetFormatPr defaultColWidth="9.28515625" defaultRowHeight="12.75" x14ac:dyDescent="0.2"/>
  <cols>
    <col min="1" max="1" width="11.7109375" style="1" hidden="1" customWidth="1"/>
    <col min="2" max="2" width="30.28515625" style="1" customWidth="1"/>
    <col min="3" max="3" width="3.7109375" style="1" customWidth="1"/>
    <col min="4" max="4" width="13.7109375" style="1" customWidth="1"/>
    <col min="5" max="5" width="15.28515625" style="1" customWidth="1"/>
    <col min="6" max="6" width="13.7109375" style="1" customWidth="1"/>
    <col min="7" max="7" width="2.7109375" style="1" customWidth="1"/>
    <col min="8" max="8" width="13.7109375" style="1" customWidth="1"/>
    <col min="9" max="9" width="10.28515625" style="1" bestFit="1" customWidth="1"/>
    <col min="10" max="10" width="13.7109375" style="1" customWidth="1"/>
    <col min="11" max="11" width="3.28515625" style="1" customWidth="1"/>
    <col min="12" max="12" width="13.7109375" style="1" customWidth="1"/>
    <col min="13" max="13" width="9.42578125" style="1" bestFit="1" customWidth="1"/>
    <col min="14" max="14" width="13.7109375" style="1" customWidth="1"/>
    <col min="15" max="15" width="3.7109375" style="1" customWidth="1"/>
    <col min="16" max="16" width="18.28515625" style="1" customWidth="1"/>
    <col min="17" max="16384" width="9.28515625" style="1"/>
  </cols>
  <sheetData>
    <row r="13" spans="2:17" ht="18.75" customHeight="1" x14ac:dyDescent="0.25">
      <c r="B13" s="244" t="s">
        <v>70</v>
      </c>
      <c r="C13" s="243"/>
      <c r="D13" s="243"/>
      <c r="E13" s="243"/>
      <c r="F13" s="243"/>
      <c r="G13" s="243"/>
      <c r="H13" s="243"/>
      <c r="I13" s="243"/>
      <c r="J13" s="243"/>
      <c r="K13" s="243"/>
      <c r="L13" s="243"/>
      <c r="M13" s="243"/>
      <c r="N13" s="243"/>
      <c r="O13" s="243"/>
      <c r="P13" s="243"/>
    </row>
    <row r="16" spans="2:17" x14ac:dyDescent="0.2">
      <c r="B16" s="71" t="s">
        <v>47</v>
      </c>
      <c r="C16" s="72"/>
      <c r="D16" s="240" t="s">
        <v>0</v>
      </c>
      <c r="E16" s="240"/>
      <c r="F16" s="240"/>
      <c r="G16" s="72"/>
      <c r="H16" s="240" t="s">
        <v>1</v>
      </c>
      <c r="I16" s="240"/>
      <c r="J16" s="240"/>
      <c r="K16" s="72"/>
      <c r="L16" s="240" t="s">
        <v>2</v>
      </c>
      <c r="M16" s="240"/>
      <c r="N16" s="240"/>
      <c r="O16" s="72"/>
      <c r="P16" s="71" t="s">
        <v>48</v>
      </c>
      <c r="Q16" s="26"/>
    </row>
    <row r="17" spans="2:17" ht="15.75" x14ac:dyDescent="0.25">
      <c r="B17" s="26"/>
      <c r="C17" s="26"/>
      <c r="D17" s="241"/>
      <c r="E17" s="241"/>
      <c r="F17" s="241"/>
      <c r="G17" s="26"/>
      <c r="H17" s="241"/>
      <c r="I17" s="241"/>
      <c r="J17" s="241"/>
      <c r="K17" s="26"/>
      <c r="L17" s="241"/>
      <c r="M17" s="241"/>
      <c r="N17" s="241"/>
      <c r="O17" s="26"/>
      <c r="P17" s="90"/>
      <c r="Q17" s="73"/>
    </row>
    <row r="18" spans="2:17" x14ac:dyDescent="0.2">
      <c r="B18" s="74" t="s">
        <v>49</v>
      </c>
      <c r="C18" s="26"/>
      <c r="D18" s="90" t="s">
        <v>50</v>
      </c>
      <c r="E18" s="90" t="s">
        <v>9</v>
      </c>
      <c r="F18" s="90" t="s">
        <v>51</v>
      </c>
      <c r="G18" s="26"/>
      <c r="H18" s="90" t="s">
        <v>50</v>
      </c>
      <c r="I18" s="90" t="s">
        <v>9</v>
      </c>
      <c r="J18" s="90" t="s">
        <v>51</v>
      </c>
      <c r="K18" s="26"/>
      <c r="L18" s="90" t="s">
        <v>50</v>
      </c>
      <c r="M18" s="90" t="s">
        <v>9</v>
      </c>
      <c r="N18" s="90" t="s">
        <v>51</v>
      </c>
      <c r="O18" s="26"/>
      <c r="P18" s="90" t="s">
        <v>51</v>
      </c>
      <c r="Q18" s="26"/>
    </row>
    <row r="19" spans="2:17" x14ac:dyDescent="0.2">
      <c r="B19" s="26"/>
      <c r="C19" s="26"/>
      <c r="D19" s="26"/>
      <c r="E19" s="26"/>
      <c r="F19" s="26"/>
      <c r="G19" s="26"/>
      <c r="H19" s="26"/>
      <c r="I19" s="26"/>
      <c r="J19" s="26"/>
      <c r="K19" s="26"/>
      <c r="L19" s="26"/>
      <c r="M19" s="26"/>
      <c r="N19" s="26"/>
      <c r="O19" s="26"/>
      <c r="P19" s="26"/>
      <c r="Q19" s="26"/>
    </row>
    <row r="20" spans="2:17" x14ac:dyDescent="0.2">
      <c r="B20" s="27" t="s">
        <v>52</v>
      </c>
      <c r="C20" s="26"/>
      <c r="D20" s="97">
        <v>371390.67576178838</v>
      </c>
      <c r="E20" s="92">
        <f>'4. UTRs &amp; Sub-Transmission'!Q22</f>
        <v>8.4574670530651712</v>
      </c>
      <c r="F20" s="98">
        <f>D20*E20</f>
        <v>3141024.4040709347</v>
      </c>
      <c r="G20" s="26"/>
      <c r="H20" s="97">
        <v>192173.69830549936</v>
      </c>
      <c r="I20" s="92">
        <f>'4. UTRs &amp; Sub-Transmission'!Q24</f>
        <v>1.3538896857470948</v>
      </c>
      <c r="J20" s="98">
        <f>H20*I20</f>
        <v>260181.98800768954</v>
      </c>
      <c r="K20" s="26"/>
      <c r="L20" s="97">
        <v>395697.77307239798</v>
      </c>
      <c r="M20" s="92">
        <f>'4. UTRs &amp; Sub-Transmission'!Q26</f>
        <v>4.562030607390076</v>
      </c>
      <c r="N20" s="98">
        <f>L20*M20</f>
        <v>1805185.3520323723</v>
      </c>
      <c r="O20" s="26"/>
      <c r="P20" s="80">
        <f t="shared" ref="P20:P31" si="0">J20+N20</f>
        <v>2065367.3400400619</v>
      </c>
      <c r="Q20" s="26"/>
    </row>
    <row r="21" spans="2:17" x14ac:dyDescent="0.2">
      <c r="B21" s="27" t="s">
        <v>53</v>
      </c>
      <c r="C21" s="26"/>
      <c r="D21" s="97">
        <v>364408.97804025293</v>
      </c>
      <c r="E21" s="92">
        <f>E20</f>
        <v>8.4574670530651712</v>
      </c>
      <c r="F21" s="98">
        <f t="shared" ref="F21:F31" si="1">D21*E21</f>
        <v>3081976.9256165884</v>
      </c>
      <c r="G21" s="26"/>
      <c r="H21" s="97">
        <v>201837.05191283324</v>
      </c>
      <c r="I21" s="92">
        <f>I20</f>
        <v>1.3538896857470948</v>
      </c>
      <c r="J21" s="98">
        <f t="shared" ref="J21:J31" si="2">H21*I21</f>
        <v>273265.10278638586</v>
      </c>
      <c r="K21" s="26"/>
      <c r="L21" s="97">
        <v>387171.14292990195</v>
      </c>
      <c r="M21" s="92">
        <f>M20</f>
        <v>4.562030607390076</v>
      </c>
      <c r="N21" s="98">
        <f t="shared" ref="N21:N31" si="3">L21*M21</f>
        <v>1766286.6043444106</v>
      </c>
      <c r="O21" s="26"/>
      <c r="P21" s="80">
        <f t="shared" si="0"/>
        <v>2039551.7071307965</v>
      </c>
      <c r="Q21" s="26"/>
    </row>
    <row r="22" spans="2:17" x14ac:dyDescent="0.2">
      <c r="B22" s="27" t="s">
        <v>54</v>
      </c>
      <c r="C22" s="26"/>
      <c r="D22" s="97">
        <v>358471.28375517338</v>
      </c>
      <c r="E22" s="92">
        <f>E21</f>
        <v>8.4574670530651712</v>
      </c>
      <c r="F22" s="98">
        <f t="shared" si="1"/>
        <v>3031759.0718293549</v>
      </c>
      <c r="G22" s="26"/>
      <c r="H22" s="97">
        <v>193005.7702485109</v>
      </c>
      <c r="I22" s="92">
        <f t="shared" ref="I22:I31" si="4">I21</f>
        <v>1.3538896857470948</v>
      </c>
      <c r="J22" s="98">
        <f t="shared" si="2"/>
        <v>261308.52162913242</v>
      </c>
      <c r="K22" s="26"/>
      <c r="L22" s="97">
        <v>368683.73259552219</v>
      </c>
      <c r="M22" s="92">
        <f t="shared" ref="M22:M31" si="5">M21</f>
        <v>4.562030607390076</v>
      </c>
      <c r="N22" s="98">
        <f t="shared" si="3"/>
        <v>1681946.4725475905</v>
      </c>
      <c r="O22" s="26"/>
      <c r="P22" s="80">
        <f t="shared" si="0"/>
        <v>1943254.9941767228</v>
      </c>
      <c r="Q22" s="26"/>
    </row>
    <row r="23" spans="2:17" x14ac:dyDescent="0.2">
      <c r="B23" s="27" t="s">
        <v>55</v>
      </c>
      <c r="C23" s="26"/>
      <c r="D23" s="97">
        <v>348810.33846026496</v>
      </c>
      <c r="E23" s="92">
        <f t="shared" ref="E23:E31" si="6">E22</f>
        <v>8.4574670530651712</v>
      </c>
      <c r="F23" s="98">
        <f t="shared" si="1"/>
        <v>2950051.9452962019</v>
      </c>
      <c r="G23" s="26"/>
      <c r="H23" s="97">
        <v>184450.24035690873</v>
      </c>
      <c r="I23" s="92">
        <f t="shared" si="4"/>
        <v>1.3538896857470948</v>
      </c>
      <c r="J23" s="98">
        <f t="shared" si="2"/>
        <v>249725.27795279125</v>
      </c>
      <c r="K23" s="26"/>
      <c r="L23" s="97">
        <v>351549.79384427547</v>
      </c>
      <c r="M23" s="92">
        <f t="shared" si="5"/>
        <v>4.562030607390076</v>
      </c>
      <c r="N23" s="98">
        <f t="shared" si="3"/>
        <v>1603780.919539256</v>
      </c>
      <c r="O23" s="26"/>
      <c r="P23" s="80">
        <f t="shared" si="0"/>
        <v>1853506.1974920472</v>
      </c>
      <c r="Q23" s="26"/>
    </row>
    <row r="24" spans="2:17" x14ac:dyDescent="0.2">
      <c r="B24" s="27" t="s">
        <v>56</v>
      </c>
      <c r="C24" s="26"/>
      <c r="D24" s="97">
        <v>428358.10203086748</v>
      </c>
      <c r="E24" s="92">
        <f t="shared" si="6"/>
        <v>8.4574670530651712</v>
      </c>
      <c r="F24" s="98">
        <f t="shared" si="1"/>
        <v>3622824.5348395905</v>
      </c>
      <c r="G24" s="26"/>
      <c r="H24" s="97">
        <v>245922.41501789266</v>
      </c>
      <c r="I24" s="92">
        <f t="shared" si="4"/>
        <v>1.3538896857470948</v>
      </c>
      <c r="J24" s="98">
        <f t="shared" si="2"/>
        <v>332951.82118674135</v>
      </c>
      <c r="K24" s="26"/>
      <c r="L24" s="97">
        <v>441650.78246343561</v>
      </c>
      <c r="M24" s="92">
        <f t="shared" si="5"/>
        <v>4.562030607390076</v>
      </c>
      <c r="N24" s="98">
        <f t="shared" si="3"/>
        <v>2014824.3873759694</v>
      </c>
      <c r="O24" s="26"/>
      <c r="P24" s="80">
        <f t="shared" si="0"/>
        <v>2347776.2085627108</v>
      </c>
      <c r="Q24" s="26"/>
    </row>
    <row r="25" spans="2:17" x14ac:dyDescent="0.2">
      <c r="B25" s="27" t="s">
        <v>57</v>
      </c>
      <c r="C25" s="26"/>
      <c r="D25" s="97">
        <v>487580.91288643092</v>
      </c>
      <c r="E25" s="92">
        <f t="shared" si="6"/>
        <v>8.4574670530651712</v>
      </c>
      <c r="F25" s="98">
        <f t="shared" si="1"/>
        <v>4123699.506440429</v>
      </c>
      <c r="G25" s="26"/>
      <c r="H25" s="97">
        <v>306762.4076671818</v>
      </c>
      <c r="I25" s="92">
        <f t="shared" si="4"/>
        <v>1.3538896857470948</v>
      </c>
      <c r="J25" s="98">
        <f t="shared" si="2"/>
        <v>415322.45971554297</v>
      </c>
      <c r="K25" s="26"/>
      <c r="L25" s="97">
        <v>527266.2891900948</v>
      </c>
      <c r="M25" s="92">
        <f t="shared" si="5"/>
        <v>4.562030607390076</v>
      </c>
      <c r="N25" s="98">
        <f t="shared" si="3"/>
        <v>2405404.9495301996</v>
      </c>
      <c r="O25" s="26"/>
      <c r="P25" s="80">
        <f t="shared" si="0"/>
        <v>2820727.4092457425</v>
      </c>
      <c r="Q25" s="26"/>
    </row>
    <row r="26" spans="2:17" x14ac:dyDescent="0.2">
      <c r="B26" s="27" t="s">
        <v>58</v>
      </c>
      <c r="C26" s="26"/>
      <c r="D26" s="97">
        <v>533425.54821832082</v>
      </c>
      <c r="E26" s="92">
        <f t="shared" si="6"/>
        <v>8.4574670530651712</v>
      </c>
      <c r="F26" s="98">
        <f t="shared" si="1"/>
        <v>4511428.9993196754</v>
      </c>
      <c r="G26" s="26"/>
      <c r="H26" s="97">
        <v>321276.10249948036</v>
      </c>
      <c r="I26" s="92">
        <f t="shared" si="4"/>
        <v>1.3538896857470948</v>
      </c>
      <c r="J26" s="98">
        <f t="shared" si="2"/>
        <v>434972.40145107289</v>
      </c>
      <c r="K26" s="26"/>
      <c r="L26" s="97">
        <v>547042.14667211915</v>
      </c>
      <c r="M26" s="92">
        <f t="shared" si="5"/>
        <v>4.562030607390076</v>
      </c>
      <c r="N26" s="98">
        <f t="shared" si="3"/>
        <v>2495623.0166505789</v>
      </c>
      <c r="O26" s="26"/>
      <c r="P26" s="80">
        <f t="shared" si="0"/>
        <v>2930595.4181016516</v>
      </c>
      <c r="Q26" s="26"/>
    </row>
    <row r="27" spans="2:17" x14ac:dyDescent="0.2">
      <c r="B27" s="27" t="s">
        <v>59</v>
      </c>
      <c r="C27" s="26"/>
      <c r="D27" s="97">
        <v>518686.67617423763</v>
      </c>
      <c r="E27" s="92">
        <f t="shared" si="6"/>
        <v>8.4574670530651712</v>
      </c>
      <c r="F27" s="98">
        <f t="shared" si="1"/>
        <v>4386775.4746074984</v>
      </c>
      <c r="G27" s="26"/>
      <c r="H27" s="97">
        <v>311542.90783180675</v>
      </c>
      <c r="I27" s="92">
        <f t="shared" si="4"/>
        <v>1.3538896857470948</v>
      </c>
      <c r="J27" s="98">
        <f t="shared" si="2"/>
        <v>421794.72958114097</v>
      </c>
      <c r="K27" s="26"/>
      <c r="L27" s="97">
        <v>538413.16325153911</v>
      </c>
      <c r="M27" s="92">
        <f t="shared" si="5"/>
        <v>4.562030607390076</v>
      </c>
      <c r="N27" s="98">
        <f t="shared" si="3"/>
        <v>2456257.3301752312</v>
      </c>
      <c r="O27" s="26"/>
      <c r="P27" s="80">
        <f t="shared" si="0"/>
        <v>2878052.0597563721</v>
      </c>
      <c r="Q27" s="26"/>
    </row>
    <row r="28" spans="2:17" x14ac:dyDescent="0.2">
      <c r="B28" s="27" t="s">
        <v>60</v>
      </c>
      <c r="C28" s="26"/>
      <c r="D28" s="97">
        <v>450916.76452056144</v>
      </c>
      <c r="E28" s="92">
        <f t="shared" si="6"/>
        <v>8.4574670530651712</v>
      </c>
      <c r="F28" s="98">
        <f t="shared" si="1"/>
        <v>3813613.6796073946</v>
      </c>
      <c r="G28" s="26"/>
      <c r="H28" s="97">
        <v>253968.58683150078</v>
      </c>
      <c r="I28" s="92">
        <f t="shared" si="4"/>
        <v>1.3538896857470948</v>
      </c>
      <c r="J28" s="98">
        <f t="shared" si="2"/>
        <v>343845.45021493436</v>
      </c>
      <c r="K28" s="26"/>
      <c r="L28" s="97">
        <v>452118.51242088771</v>
      </c>
      <c r="M28" s="92">
        <f t="shared" si="5"/>
        <v>4.562030607390076</v>
      </c>
      <c r="N28" s="98">
        <f t="shared" si="3"/>
        <v>2062578.4918317599</v>
      </c>
      <c r="O28" s="26"/>
      <c r="P28" s="80">
        <f t="shared" si="0"/>
        <v>2406423.9420466945</v>
      </c>
      <c r="Q28" s="26"/>
    </row>
    <row r="29" spans="2:17" x14ac:dyDescent="0.2">
      <c r="B29" s="27" t="s">
        <v>61</v>
      </c>
      <c r="C29" s="26"/>
      <c r="D29" s="97">
        <v>369309.89382615313</v>
      </c>
      <c r="E29" s="92">
        <f t="shared" si="6"/>
        <v>8.4574670530651712</v>
      </c>
      <c r="F29" s="98">
        <f t="shared" si="1"/>
        <v>3123426.2594056865</v>
      </c>
      <c r="G29" s="26"/>
      <c r="H29" s="97">
        <v>265699.47665612964</v>
      </c>
      <c r="I29" s="92">
        <f t="shared" si="4"/>
        <v>1.3538896857470948</v>
      </c>
      <c r="J29" s="98">
        <f t="shared" si="2"/>
        <v>359727.78095313493</v>
      </c>
      <c r="K29" s="26"/>
      <c r="L29" s="97">
        <v>386979.68209207436</v>
      </c>
      <c r="M29" s="92">
        <f t="shared" si="5"/>
        <v>4.562030607390076</v>
      </c>
      <c r="N29" s="98">
        <f t="shared" si="3"/>
        <v>1765413.1541421246</v>
      </c>
      <c r="O29" s="26"/>
      <c r="P29" s="80">
        <f t="shared" si="0"/>
        <v>2125140.9350952595</v>
      </c>
      <c r="Q29" s="26"/>
    </row>
    <row r="30" spans="2:17" x14ac:dyDescent="0.2">
      <c r="B30" s="27" t="s">
        <v>62</v>
      </c>
      <c r="C30" s="26"/>
      <c r="D30" s="97">
        <v>355480.15972269775</v>
      </c>
      <c r="E30" s="92">
        <f t="shared" si="6"/>
        <v>8.4574670530651712</v>
      </c>
      <c r="F30" s="98">
        <f t="shared" si="1"/>
        <v>3006461.7388730608</v>
      </c>
      <c r="G30" s="26"/>
      <c r="H30" s="97">
        <v>201971.91740866151</v>
      </c>
      <c r="I30" s="92">
        <f t="shared" si="4"/>
        <v>1.3538896857470948</v>
      </c>
      <c r="J30" s="98">
        <f t="shared" si="2"/>
        <v>273447.6957901509</v>
      </c>
      <c r="K30" s="26"/>
      <c r="L30" s="97">
        <v>333479.02155950799</v>
      </c>
      <c r="M30" s="92">
        <f t="shared" si="5"/>
        <v>4.562030607390076</v>
      </c>
      <c r="N30" s="98">
        <f t="shared" si="3"/>
        <v>1521341.5032769705</v>
      </c>
      <c r="O30" s="26"/>
      <c r="P30" s="80">
        <f t="shared" si="0"/>
        <v>1794789.1990671214</v>
      </c>
      <c r="Q30" s="26"/>
    </row>
    <row r="31" spans="2:17" x14ac:dyDescent="0.2">
      <c r="B31" s="27" t="s">
        <v>63</v>
      </c>
      <c r="C31" s="26"/>
      <c r="D31" s="97">
        <v>387143.44733700861</v>
      </c>
      <c r="E31" s="92">
        <f t="shared" si="6"/>
        <v>8.4574670530651712</v>
      </c>
      <c r="F31" s="98">
        <f t="shared" si="1"/>
        <v>3274252.9506628215</v>
      </c>
      <c r="G31" s="26"/>
      <c r="H31" s="97">
        <v>248999.03414147373</v>
      </c>
      <c r="I31" s="92">
        <f t="shared" si="4"/>
        <v>1.3538896857470948</v>
      </c>
      <c r="J31" s="98">
        <f t="shared" si="2"/>
        <v>337117.22408512997</v>
      </c>
      <c r="K31" s="26"/>
      <c r="L31" s="97">
        <v>385871.85837634263</v>
      </c>
      <c r="M31" s="92">
        <f t="shared" si="5"/>
        <v>4.562030607390076</v>
      </c>
      <c r="N31" s="98">
        <f t="shared" si="3"/>
        <v>1760359.2284433637</v>
      </c>
      <c r="O31" s="26"/>
      <c r="P31" s="80">
        <f t="shared" si="0"/>
        <v>2097476.4525284935</v>
      </c>
      <c r="Q31" s="26"/>
    </row>
    <row r="32" spans="2:17" x14ac:dyDescent="0.2">
      <c r="B32" s="26"/>
      <c r="C32" s="26"/>
      <c r="D32" s="26"/>
      <c r="E32" s="26"/>
      <c r="F32" s="26"/>
      <c r="G32" s="26"/>
      <c r="H32" s="26"/>
      <c r="I32" s="26"/>
      <c r="J32" s="26"/>
      <c r="K32" s="26"/>
      <c r="L32" s="26"/>
      <c r="M32" s="26"/>
      <c r="N32" s="26"/>
      <c r="O32" s="26"/>
      <c r="P32" s="26"/>
      <c r="Q32" s="26"/>
    </row>
    <row r="33" spans="2:17" ht="13.5" thickBot="1" x14ac:dyDescent="0.25">
      <c r="B33" s="74" t="s">
        <v>3</v>
      </c>
      <c r="C33" s="26"/>
      <c r="D33" s="81">
        <f>SUM(D20:D31)</f>
        <v>4973982.7807337577</v>
      </c>
      <c r="E33" s="82">
        <f>IF(D33&lt;&gt;0,F33/D33,0)</f>
        <v>8.4574670530651694</v>
      </c>
      <c r="F33" s="83">
        <f>SUM(F20:F31)</f>
        <v>42067295.490569234</v>
      </c>
      <c r="G33" s="26"/>
      <c r="H33" s="81">
        <f>SUM(H20:H31)</f>
        <v>2927609.6088778796</v>
      </c>
      <c r="I33" s="82">
        <f>IF(H33&lt;&gt;0,J33/H33,0)</f>
        <v>1.3538896857470948</v>
      </c>
      <c r="J33" s="83">
        <f>SUM(J20:J31)</f>
        <v>3963660.4533538474</v>
      </c>
      <c r="K33" s="26"/>
      <c r="L33" s="81">
        <f>SUM(L20:L31)</f>
        <v>5115923.8984680986</v>
      </c>
      <c r="M33" s="82">
        <f>IF(L33&lt;&gt;0,N33/L33,0)</f>
        <v>4.5620306073900769</v>
      </c>
      <c r="N33" s="83">
        <f>SUM(N20:N31)</f>
        <v>23339001.409889832</v>
      </c>
      <c r="O33" s="26"/>
      <c r="P33" s="83">
        <f>SUM(P20:P31)</f>
        <v>27302661.863243669</v>
      </c>
      <c r="Q33" s="26"/>
    </row>
    <row r="34" spans="2:17" x14ac:dyDescent="0.2">
      <c r="B34" s="26"/>
      <c r="C34" s="26"/>
      <c r="D34" s="26"/>
      <c r="E34" s="26"/>
      <c r="F34" s="26"/>
      <c r="G34" s="26"/>
      <c r="H34" s="26"/>
      <c r="I34" s="26"/>
      <c r="J34" s="26"/>
      <c r="K34" s="26"/>
      <c r="L34" s="26"/>
      <c r="M34" s="26"/>
      <c r="N34" s="26"/>
      <c r="O34" s="26"/>
      <c r="P34" s="26"/>
      <c r="Q34" s="26"/>
    </row>
    <row r="35" spans="2:17" x14ac:dyDescent="0.2">
      <c r="B35" s="71" t="s">
        <v>64</v>
      </c>
      <c r="C35" s="72"/>
      <c r="D35" s="240" t="s">
        <v>0</v>
      </c>
      <c r="E35" s="240"/>
      <c r="F35" s="240"/>
      <c r="G35" s="72"/>
      <c r="H35" s="240" t="s">
        <v>1</v>
      </c>
      <c r="I35" s="240"/>
      <c r="J35" s="240"/>
      <c r="K35" s="72"/>
      <c r="L35" s="240" t="s">
        <v>2</v>
      </c>
      <c r="M35" s="240"/>
      <c r="N35" s="240"/>
      <c r="O35" s="72"/>
      <c r="P35" s="71" t="s">
        <v>48</v>
      </c>
      <c r="Q35" s="26"/>
    </row>
    <row r="36" spans="2:17" x14ac:dyDescent="0.2">
      <c r="B36" s="74"/>
      <c r="C36" s="26"/>
      <c r="D36" s="90"/>
      <c r="E36" s="90"/>
      <c r="F36" s="90"/>
      <c r="G36" s="26"/>
      <c r="H36" s="90"/>
      <c r="I36" s="90"/>
      <c r="J36" s="90"/>
      <c r="K36" s="26"/>
      <c r="L36" s="90"/>
      <c r="M36" s="90"/>
      <c r="N36" s="90"/>
      <c r="O36" s="26"/>
      <c r="P36" s="90"/>
      <c r="Q36" s="26"/>
    </row>
    <row r="37" spans="2:17" x14ac:dyDescent="0.2">
      <c r="B37" s="74" t="s">
        <v>49</v>
      </c>
      <c r="C37" s="26"/>
      <c r="D37" s="90" t="s">
        <v>50</v>
      </c>
      <c r="E37" s="90" t="s">
        <v>9</v>
      </c>
      <c r="F37" s="90" t="s">
        <v>51</v>
      </c>
      <c r="G37" s="26"/>
      <c r="H37" s="90" t="s">
        <v>50</v>
      </c>
      <c r="I37" s="90" t="s">
        <v>9</v>
      </c>
      <c r="J37" s="90" t="s">
        <v>51</v>
      </c>
      <c r="K37" s="26"/>
      <c r="L37" s="90" t="s">
        <v>50</v>
      </c>
      <c r="M37" s="90" t="s">
        <v>9</v>
      </c>
      <c r="N37" s="90" t="s">
        <v>51</v>
      </c>
      <c r="O37" s="26"/>
      <c r="P37" s="90" t="s">
        <v>51</v>
      </c>
      <c r="Q37" s="26"/>
    </row>
    <row r="38" spans="2:17" x14ac:dyDescent="0.2">
      <c r="B38" s="26"/>
      <c r="C38" s="26"/>
      <c r="D38" s="26"/>
      <c r="E38" s="26"/>
      <c r="F38" s="26"/>
      <c r="G38" s="26"/>
      <c r="H38" s="26"/>
      <c r="I38" s="26"/>
      <c r="J38" s="26"/>
      <c r="K38" s="26"/>
      <c r="L38" s="26"/>
      <c r="M38" s="26"/>
      <c r="N38" s="26"/>
      <c r="O38" s="26"/>
      <c r="P38" s="26"/>
      <c r="Q38" s="26"/>
    </row>
    <row r="39" spans="2:17" x14ac:dyDescent="0.2">
      <c r="B39" s="27" t="s">
        <v>52</v>
      </c>
      <c r="C39" s="26"/>
      <c r="D39" s="97">
        <v>325121.21411803964</v>
      </c>
      <c r="E39" s="92">
        <f>'4. UTRs &amp; Sub-Transmission'!Q35</f>
        <v>7.2408624028026516</v>
      </c>
      <c r="F39" s="98">
        <f>D39*E39</f>
        <v>2354157.9756608638</v>
      </c>
      <c r="G39" s="26"/>
      <c r="H39" s="97">
        <v>295595.11111636925</v>
      </c>
      <c r="I39" s="92">
        <f>'4. UTRs &amp; Sub-Transmission'!Q37</f>
        <v>0.92721726633592294</v>
      </c>
      <c r="J39" s="98">
        <f>H39*I39</f>
        <v>274080.89087158331</v>
      </c>
      <c r="K39" s="26"/>
      <c r="L39" s="97">
        <v>342722.48589545523</v>
      </c>
      <c r="M39" s="92">
        <f>'4. UTRs &amp; Sub-Transmission'!Q39</f>
        <v>4.701915349933679</v>
      </c>
      <c r="N39" s="98">
        <f>L39*M39</f>
        <v>1611452.1171992698</v>
      </c>
      <c r="O39" s="26"/>
      <c r="P39" s="80">
        <f t="shared" ref="P39:P50" si="7">J39+N39</f>
        <v>1885533.0080708531</v>
      </c>
      <c r="Q39" s="26"/>
    </row>
    <row r="40" spans="2:17" x14ac:dyDescent="0.2">
      <c r="B40" s="27" t="s">
        <v>53</v>
      </c>
      <c r="C40" s="26"/>
      <c r="D40" s="97">
        <v>325252.5634777266</v>
      </c>
      <c r="E40" s="92">
        <f t="shared" ref="E40:E50" si="8">E39</f>
        <v>7.2408624028026516</v>
      </c>
      <c r="F40" s="98">
        <f t="shared" ref="F40:F50" si="9">D40*E40</f>
        <v>2355109.0583010535</v>
      </c>
      <c r="G40" s="26"/>
      <c r="H40" s="97">
        <v>271065.48573764309</v>
      </c>
      <c r="I40" s="92">
        <f t="shared" ref="I40:I50" si="10">I39</f>
        <v>0.92721726633592294</v>
      </c>
      <c r="J40" s="98">
        <f t="shared" ref="J40:J50" si="11">H40*I40</f>
        <v>251336.59868367654</v>
      </c>
      <c r="K40" s="26"/>
      <c r="L40" s="97">
        <v>327028.00752249436</v>
      </c>
      <c r="M40" s="92">
        <f t="shared" ref="M40:M50" si="12">M39</f>
        <v>4.701915349933679</v>
      </c>
      <c r="N40" s="98">
        <f t="shared" ref="N40:N50" si="13">L40*M40</f>
        <v>1537658.0084282428</v>
      </c>
      <c r="O40" s="26"/>
      <c r="P40" s="80">
        <f t="shared" si="7"/>
        <v>1788994.6071119192</v>
      </c>
      <c r="Q40" s="26"/>
    </row>
    <row r="41" spans="2:17" x14ac:dyDescent="0.2">
      <c r="B41" s="27" t="s">
        <v>54</v>
      </c>
      <c r="C41" s="26"/>
      <c r="D41" s="97">
        <v>273685.91028002318</v>
      </c>
      <c r="E41" s="92">
        <f t="shared" si="8"/>
        <v>7.2408624028026516</v>
      </c>
      <c r="F41" s="98">
        <f t="shared" si="9"/>
        <v>1981722.0179234396</v>
      </c>
      <c r="G41" s="26"/>
      <c r="H41" s="97">
        <v>233425.07976384714</v>
      </c>
      <c r="I41" s="92">
        <f t="shared" si="10"/>
        <v>0.92721726633592294</v>
      </c>
      <c r="J41" s="98">
        <f t="shared" si="11"/>
        <v>216435.76435287911</v>
      </c>
      <c r="K41" s="26"/>
      <c r="L41" s="97">
        <v>278699.1377158867</v>
      </c>
      <c r="M41" s="92">
        <f t="shared" si="12"/>
        <v>4.701915349933679</v>
      </c>
      <c r="N41" s="98">
        <f t="shared" si="13"/>
        <v>1310419.7536396079</v>
      </c>
      <c r="O41" s="26"/>
      <c r="P41" s="80">
        <f t="shared" si="7"/>
        <v>1526855.5179924869</v>
      </c>
      <c r="Q41" s="26"/>
    </row>
    <row r="42" spans="2:17" x14ac:dyDescent="0.2">
      <c r="B42" s="27" t="s">
        <v>55</v>
      </c>
      <c r="C42" s="26"/>
      <c r="D42" s="97">
        <v>240840.06901541716</v>
      </c>
      <c r="E42" s="92">
        <f t="shared" si="8"/>
        <v>7.2408624028026516</v>
      </c>
      <c r="F42" s="98">
        <f t="shared" si="9"/>
        <v>1743889.8008221299</v>
      </c>
      <c r="G42" s="26"/>
      <c r="H42" s="97">
        <v>213029.12999850418</v>
      </c>
      <c r="I42" s="92">
        <f t="shared" si="10"/>
        <v>0.92721726633592294</v>
      </c>
      <c r="J42" s="98">
        <f t="shared" si="11"/>
        <v>197524.287567133</v>
      </c>
      <c r="K42" s="26"/>
      <c r="L42" s="97">
        <v>245788.93430170912</v>
      </c>
      <c r="M42" s="92">
        <f t="shared" si="12"/>
        <v>4.701915349933679</v>
      </c>
      <c r="N42" s="98">
        <f t="shared" si="13"/>
        <v>1155678.7630370467</v>
      </c>
      <c r="O42" s="26"/>
      <c r="P42" s="80">
        <f t="shared" si="7"/>
        <v>1353203.0506041797</v>
      </c>
      <c r="Q42" s="26"/>
    </row>
    <row r="43" spans="2:17" x14ac:dyDescent="0.2">
      <c r="B43" s="27" t="s">
        <v>56</v>
      </c>
      <c r="C43" s="26"/>
      <c r="D43" s="97">
        <v>281379.51719609962</v>
      </c>
      <c r="E43" s="92">
        <f t="shared" si="8"/>
        <v>7.2408624028026516</v>
      </c>
      <c r="F43" s="98">
        <f t="shared" si="9"/>
        <v>2037430.366984</v>
      </c>
      <c r="G43" s="26"/>
      <c r="H43" s="97">
        <v>233794.563056168</v>
      </c>
      <c r="I43" s="92">
        <f t="shared" si="10"/>
        <v>0.92721726633592294</v>
      </c>
      <c r="J43" s="98">
        <f t="shared" si="11"/>
        <v>216778.35564114165</v>
      </c>
      <c r="K43" s="26"/>
      <c r="L43" s="97">
        <v>283805.12130481855</v>
      </c>
      <c r="M43" s="92">
        <f t="shared" si="12"/>
        <v>4.701915349933679</v>
      </c>
      <c r="N43" s="98">
        <f t="shared" si="13"/>
        <v>1334427.6562529162</v>
      </c>
      <c r="O43" s="26"/>
      <c r="P43" s="80">
        <f t="shared" si="7"/>
        <v>1551206.011894058</v>
      </c>
      <c r="Q43" s="26"/>
    </row>
    <row r="44" spans="2:17" x14ac:dyDescent="0.2">
      <c r="B44" s="27" t="s">
        <v>57</v>
      </c>
      <c r="C44" s="26"/>
      <c r="D44" s="97">
        <v>364254.97850220412</v>
      </c>
      <c r="E44" s="92">
        <f t="shared" si="8"/>
        <v>7.2408624028026516</v>
      </c>
      <c r="F44" s="98">
        <f t="shared" si="9"/>
        <v>2637520.178870298</v>
      </c>
      <c r="G44" s="26"/>
      <c r="H44" s="97">
        <v>317610.08503444359</v>
      </c>
      <c r="I44" s="92">
        <f t="shared" si="10"/>
        <v>0.92721726633592294</v>
      </c>
      <c r="J44" s="98">
        <f t="shared" si="11"/>
        <v>294493.55480635684</v>
      </c>
      <c r="K44" s="26"/>
      <c r="L44" s="97">
        <v>367727.07865073928</v>
      </c>
      <c r="M44" s="92">
        <f t="shared" si="12"/>
        <v>4.701915349933679</v>
      </c>
      <c r="N44" s="98">
        <f t="shared" si="13"/>
        <v>1729021.5956941803</v>
      </c>
      <c r="O44" s="26"/>
      <c r="P44" s="80">
        <f t="shared" si="7"/>
        <v>2023515.1505005371</v>
      </c>
      <c r="Q44" s="26"/>
    </row>
    <row r="45" spans="2:17" x14ac:dyDescent="0.2">
      <c r="B45" s="27" t="s">
        <v>58</v>
      </c>
      <c r="C45" s="26"/>
      <c r="D45" s="97">
        <v>345882.09546521917</v>
      </c>
      <c r="E45" s="92">
        <f t="shared" si="8"/>
        <v>7.2408624028026516</v>
      </c>
      <c r="F45" s="98">
        <f t="shared" si="9"/>
        <v>2504484.6608567028</v>
      </c>
      <c r="G45" s="26"/>
      <c r="H45" s="97">
        <v>293805.54231922596</v>
      </c>
      <c r="I45" s="92">
        <f t="shared" si="10"/>
        <v>0.92721726633592294</v>
      </c>
      <c r="J45" s="98">
        <f t="shared" si="11"/>
        <v>272421.57178357604</v>
      </c>
      <c r="K45" s="26"/>
      <c r="L45" s="97">
        <v>346890.49200246402</v>
      </c>
      <c r="M45" s="92">
        <f t="shared" si="12"/>
        <v>4.701915349933679</v>
      </c>
      <c r="N45" s="98">
        <f t="shared" si="13"/>
        <v>1631049.7290924317</v>
      </c>
      <c r="O45" s="26"/>
      <c r="P45" s="80">
        <f t="shared" si="7"/>
        <v>1903471.3008760079</v>
      </c>
      <c r="Q45" s="26"/>
    </row>
    <row r="46" spans="2:17" x14ac:dyDescent="0.2">
      <c r="B46" s="27" t="s">
        <v>59</v>
      </c>
      <c r="C46" s="26"/>
      <c r="D46" s="97">
        <v>378664.1284921114</v>
      </c>
      <c r="E46" s="92">
        <f t="shared" si="8"/>
        <v>7.2408624028026516</v>
      </c>
      <c r="F46" s="98">
        <f t="shared" si="9"/>
        <v>2741854.8512885617</v>
      </c>
      <c r="G46" s="26"/>
      <c r="H46" s="97">
        <v>286104.98742180184</v>
      </c>
      <c r="I46" s="92">
        <f t="shared" si="10"/>
        <v>0.92721726633592294</v>
      </c>
      <c r="J46" s="98">
        <f t="shared" si="11"/>
        <v>265281.48432231671</v>
      </c>
      <c r="K46" s="26"/>
      <c r="L46" s="97">
        <v>382844.62169904646</v>
      </c>
      <c r="M46" s="92">
        <f t="shared" si="12"/>
        <v>4.701915349933679</v>
      </c>
      <c r="N46" s="98">
        <f t="shared" si="13"/>
        <v>1800103.003406299</v>
      </c>
      <c r="O46" s="26"/>
      <c r="P46" s="80">
        <f t="shared" si="7"/>
        <v>2065384.4877286158</v>
      </c>
      <c r="Q46" s="26"/>
    </row>
    <row r="47" spans="2:17" x14ac:dyDescent="0.2">
      <c r="B47" s="27" t="s">
        <v>60</v>
      </c>
      <c r="C47" s="26"/>
      <c r="D47" s="97">
        <v>315778.33464516746</v>
      </c>
      <c r="E47" s="92">
        <f t="shared" si="8"/>
        <v>7.2408624028026516</v>
      </c>
      <c r="F47" s="98">
        <f t="shared" si="9"/>
        <v>2286507.4709518272</v>
      </c>
      <c r="G47" s="26"/>
      <c r="H47" s="97">
        <v>246206.01788911995</v>
      </c>
      <c r="I47" s="92">
        <f t="shared" si="10"/>
        <v>0.92721726633592294</v>
      </c>
      <c r="J47" s="98">
        <f t="shared" si="11"/>
        <v>228286.47086260314</v>
      </c>
      <c r="K47" s="26"/>
      <c r="L47" s="97">
        <v>317453.93005677382</v>
      </c>
      <c r="M47" s="92">
        <f t="shared" si="12"/>
        <v>4.701915349933679</v>
      </c>
      <c r="N47" s="98">
        <f t="shared" si="13"/>
        <v>1492641.5066307173</v>
      </c>
      <c r="O47" s="26"/>
      <c r="P47" s="80">
        <f t="shared" si="7"/>
        <v>1720927.9774933204</v>
      </c>
      <c r="Q47" s="26"/>
    </row>
    <row r="48" spans="2:17" x14ac:dyDescent="0.2">
      <c r="B48" s="27" t="s">
        <v>61</v>
      </c>
      <c r="C48" s="26"/>
      <c r="D48" s="97">
        <v>265895.98290848866</v>
      </c>
      <c r="E48" s="92">
        <f t="shared" si="8"/>
        <v>7.2408624028026516</v>
      </c>
      <c r="F48" s="98">
        <f t="shared" si="9"/>
        <v>1925316.2256983321</v>
      </c>
      <c r="G48" s="26"/>
      <c r="H48" s="97">
        <v>211102.69680621944</v>
      </c>
      <c r="I48" s="92">
        <f t="shared" si="10"/>
        <v>0.92721726633592294</v>
      </c>
      <c r="J48" s="98">
        <f t="shared" si="11"/>
        <v>195738.06544880394</v>
      </c>
      <c r="K48" s="26"/>
      <c r="L48" s="97">
        <v>269010.78582557617</v>
      </c>
      <c r="M48" s="92">
        <f t="shared" si="12"/>
        <v>4.701915349933679</v>
      </c>
      <c r="N48" s="98">
        <f t="shared" si="13"/>
        <v>1264865.943170998</v>
      </c>
      <c r="O48" s="26"/>
      <c r="P48" s="80">
        <f t="shared" si="7"/>
        <v>1460604.0086198021</v>
      </c>
      <c r="Q48" s="26"/>
    </row>
    <row r="49" spans="2:17" x14ac:dyDescent="0.2">
      <c r="B49" s="27" t="s">
        <v>62</v>
      </c>
      <c r="C49" s="26"/>
      <c r="D49" s="97">
        <v>289069.92105665023</v>
      </c>
      <c r="E49" s="92">
        <f t="shared" si="8"/>
        <v>7.2408624028026516</v>
      </c>
      <c r="F49" s="98">
        <f t="shared" si="9"/>
        <v>2093115.5231602292</v>
      </c>
      <c r="G49" s="26"/>
      <c r="H49" s="97">
        <v>234310.89319863386</v>
      </c>
      <c r="I49" s="92">
        <f t="shared" si="10"/>
        <v>0.92721726633592294</v>
      </c>
      <c r="J49" s="98">
        <f t="shared" si="11"/>
        <v>217257.10586436567</v>
      </c>
      <c r="K49" s="26"/>
      <c r="L49" s="97">
        <v>293368.24094900303</v>
      </c>
      <c r="M49" s="92">
        <f t="shared" si="12"/>
        <v>4.701915349933679</v>
      </c>
      <c r="N49" s="98">
        <f t="shared" si="13"/>
        <v>1379392.6353011595</v>
      </c>
      <c r="O49" s="26"/>
      <c r="P49" s="80">
        <f t="shared" si="7"/>
        <v>1596649.741165525</v>
      </c>
      <c r="Q49" s="26"/>
    </row>
    <row r="50" spans="2:17" x14ac:dyDescent="0.2">
      <c r="B50" s="27" t="s">
        <v>63</v>
      </c>
      <c r="C50" s="26"/>
      <c r="D50" s="97">
        <v>297586.00279072265</v>
      </c>
      <c r="E50" s="92">
        <f t="shared" si="8"/>
        <v>7.2408624028026516</v>
      </c>
      <c r="F50" s="98">
        <f t="shared" si="9"/>
        <v>2154779.2992076688</v>
      </c>
      <c r="G50" s="26"/>
      <c r="H50" s="97">
        <v>254342.45325243601</v>
      </c>
      <c r="I50" s="92">
        <f t="shared" si="10"/>
        <v>0.92721726633592294</v>
      </c>
      <c r="J50" s="98">
        <f t="shared" si="11"/>
        <v>235830.71421789599</v>
      </c>
      <c r="K50" s="26"/>
      <c r="L50" s="97">
        <v>304862.51407782611</v>
      </c>
      <c r="M50" s="92">
        <f t="shared" si="12"/>
        <v>4.701915349933679</v>
      </c>
      <c r="N50" s="98">
        <f t="shared" si="13"/>
        <v>1433437.7345619029</v>
      </c>
      <c r="O50" s="26"/>
      <c r="P50" s="80">
        <f t="shared" si="7"/>
        <v>1669268.448779799</v>
      </c>
      <c r="Q50" s="26"/>
    </row>
    <row r="51" spans="2:17" x14ac:dyDescent="0.2">
      <c r="B51" s="26"/>
      <c r="C51" s="26"/>
      <c r="D51" s="26"/>
      <c r="E51" s="26"/>
      <c r="F51" s="26"/>
      <c r="G51" s="26"/>
      <c r="H51" s="26"/>
      <c r="I51" s="26"/>
      <c r="J51" s="26"/>
      <c r="K51" s="26"/>
      <c r="L51" s="26"/>
      <c r="M51" s="26"/>
      <c r="N51" s="26"/>
      <c r="O51" s="26"/>
      <c r="P51" s="26"/>
      <c r="Q51" s="26"/>
    </row>
    <row r="52" spans="2:17" ht="13.5" thickBot="1" x14ac:dyDescent="0.25">
      <c r="B52" s="74" t="s">
        <v>3</v>
      </c>
      <c r="C52" s="26"/>
      <c r="D52" s="81">
        <f>SUM(D39:D50)</f>
        <v>3703410.7179478696</v>
      </c>
      <c r="E52" s="82">
        <f>IF(D52&lt;&gt;0,F52/D52,0)</f>
        <v>7.2408624028026525</v>
      </c>
      <c r="F52" s="83">
        <f>SUM(F39:F50)</f>
        <v>26815887.429725107</v>
      </c>
      <c r="G52" s="26"/>
      <c r="H52" s="81">
        <f>SUM(H39:H50)</f>
        <v>3090392.0455944128</v>
      </c>
      <c r="I52" s="82">
        <f>IF(H52&lt;&gt;0,J52/H52,0)</f>
        <v>0.92721726633592272</v>
      </c>
      <c r="J52" s="83">
        <f>SUM(J39:J50)</f>
        <v>2865464.8644223316</v>
      </c>
      <c r="K52" s="26"/>
      <c r="L52" s="81">
        <f>SUM(L39:L50)</f>
        <v>3760201.3500017924</v>
      </c>
      <c r="M52" s="82">
        <f>IF(L52&lt;&gt;0,N52/L52,0)</f>
        <v>4.7019153499336799</v>
      </c>
      <c r="N52" s="83">
        <f>SUM(N39:N50)</f>
        <v>17680148.446414772</v>
      </c>
      <c r="O52" s="26"/>
      <c r="P52" s="83">
        <f>SUM(P39:P50)</f>
        <v>20545613.310837105</v>
      </c>
      <c r="Q52" s="26"/>
    </row>
    <row r="53" spans="2:17" x14ac:dyDescent="0.2">
      <c r="B53" s="26"/>
      <c r="C53" s="26"/>
      <c r="D53" s="26"/>
      <c r="E53" s="26"/>
      <c r="F53" s="26"/>
      <c r="G53" s="26"/>
      <c r="H53" s="26"/>
      <c r="I53" s="26"/>
      <c r="J53" s="26"/>
      <c r="K53" s="26"/>
      <c r="L53" s="26"/>
      <c r="M53" s="26"/>
      <c r="N53" s="26"/>
      <c r="O53" s="26"/>
      <c r="P53" s="26"/>
      <c r="Q53" s="26"/>
    </row>
    <row r="54" spans="2:17" x14ac:dyDescent="0.2">
      <c r="B54" s="71" t="e">
        <f>#REF!</f>
        <v>#REF!</v>
      </c>
      <c r="C54" s="72"/>
      <c r="D54" s="240" t="s">
        <v>0</v>
      </c>
      <c r="E54" s="240"/>
      <c r="F54" s="240"/>
      <c r="G54" s="72"/>
      <c r="H54" s="240" t="s">
        <v>1</v>
      </c>
      <c r="I54" s="240"/>
      <c r="J54" s="240"/>
      <c r="K54" s="72"/>
      <c r="L54" s="240" t="s">
        <v>2</v>
      </c>
      <c r="M54" s="240"/>
      <c r="N54" s="240"/>
      <c r="O54" s="72"/>
      <c r="P54" s="71" t="s">
        <v>48</v>
      </c>
      <c r="Q54" s="26"/>
    </row>
    <row r="55" spans="2:17" x14ac:dyDescent="0.2">
      <c r="B55" s="74"/>
      <c r="C55" s="26"/>
      <c r="D55" s="90"/>
      <c r="E55" s="90"/>
      <c r="F55" s="90"/>
      <c r="G55" s="26"/>
      <c r="H55" s="90"/>
      <c r="I55" s="90"/>
      <c r="J55" s="90"/>
      <c r="K55" s="26"/>
      <c r="L55" s="90"/>
      <c r="M55" s="90"/>
      <c r="N55" s="90"/>
      <c r="O55" s="26"/>
      <c r="P55" s="90"/>
      <c r="Q55" s="26"/>
    </row>
    <row r="56" spans="2:17" x14ac:dyDescent="0.2">
      <c r="B56" s="74" t="s">
        <v>49</v>
      </c>
      <c r="C56" s="26"/>
      <c r="D56" s="90" t="s">
        <v>50</v>
      </c>
      <c r="E56" s="90" t="s">
        <v>9</v>
      </c>
      <c r="F56" s="90" t="s">
        <v>51</v>
      </c>
      <c r="G56" s="26"/>
      <c r="H56" s="90" t="s">
        <v>50</v>
      </c>
      <c r="I56" s="90" t="s">
        <v>9</v>
      </c>
      <c r="J56" s="90" t="s">
        <v>51</v>
      </c>
      <c r="K56" s="26"/>
      <c r="L56" s="90" t="s">
        <v>50</v>
      </c>
      <c r="M56" s="90" t="s">
        <v>9</v>
      </c>
      <c r="N56" s="90" t="s">
        <v>51</v>
      </c>
      <c r="O56" s="26"/>
      <c r="P56" s="90" t="s">
        <v>51</v>
      </c>
      <c r="Q56" s="26"/>
    </row>
    <row r="57" spans="2:17" x14ac:dyDescent="0.2">
      <c r="B57" s="26"/>
      <c r="C57" s="26"/>
      <c r="D57" s="26"/>
      <c r="E57" s="26"/>
      <c r="F57" s="26"/>
      <c r="G57" s="26"/>
      <c r="H57" s="26"/>
      <c r="I57" s="26"/>
      <c r="J57" s="26"/>
      <c r="K57" s="26"/>
      <c r="L57" s="26"/>
      <c r="M57" s="26"/>
      <c r="N57" s="26"/>
      <c r="O57" s="26"/>
      <c r="P57" s="26"/>
      <c r="Q57" s="26"/>
    </row>
    <row r="58" spans="2:17" x14ac:dyDescent="0.2">
      <c r="B58" s="27" t="s">
        <v>52</v>
      </c>
      <c r="C58" s="26"/>
      <c r="D58" s="97"/>
      <c r="E58" s="92"/>
      <c r="F58" s="98"/>
      <c r="G58" s="26"/>
      <c r="H58" s="97"/>
      <c r="I58" s="92"/>
      <c r="J58" s="98"/>
      <c r="K58" s="26"/>
      <c r="L58" s="97"/>
      <c r="M58" s="92"/>
      <c r="N58" s="98"/>
      <c r="O58" s="26"/>
      <c r="P58" s="80"/>
      <c r="Q58" s="26"/>
    </row>
    <row r="59" spans="2:17" x14ac:dyDescent="0.2">
      <c r="B59" s="27" t="s">
        <v>53</v>
      </c>
      <c r="C59" s="26"/>
      <c r="D59" s="97"/>
      <c r="E59" s="92"/>
      <c r="F59" s="98"/>
      <c r="G59" s="26"/>
      <c r="H59" s="97"/>
      <c r="I59" s="92"/>
      <c r="J59" s="98"/>
      <c r="K59" s="26"/>
      <c r="L59" s="97"/>
      <c r="M59" s="92"/>
      <c r="N59" s="98"/>
      <c r="O59" s="26"/>
      <c r="P59" s="80"/>
      <c r="Q59" s="26"/>
    </row>
    <row r="60" spans="2:17" x14ac:dyDescent="0.2">
      <c r="B60" s="27" t="s">
        <v>54</v>
      </c>
      <c r="C60" s="26"/>
      <c r="D60" s="97"/>
      <c r="E60" s="92"/>
      <c r="F60" s="98"/>
      <c r="G60" s="26"/>
      <c r="H60" s="97"/>
      <c r="I60" s="92"/>
      <c r="J60" s="98"/>
      <c r="K60" s="26"/>
      <c r="L60" s="97"/>
      <c r="M60" s="92"/>
      <c r="N60" s="98"/>
      <c r="O60" s="26"/>
      <c r="P60" s="80"/>
      <c r="Q60" s="26"/>
    </row>
    <row r="61" spans="2:17" x14ac:dyDescent="0.2">
      <c r="B61" s="27" t="s">
        <v>55</v>
      </c>
      <c r="C61" s="26"/>
      <c r="D61" s="97"/>
      <c r="E61" s="92"/>
      <c r="F61" s="98"/>
      <c r="G61" s="26"/>
      <c r="H61" s="97"/>
      <c r="I61" s="92"/>
      <c r="J61" s="98"/>
      <c r="K61" s="26"/>
      <c r="L61" s="97"/>
      <c r="M61" s="92"/>
      <c r="N61" s="98"/>
      <c r="O61" s="26"/>
      <c r="P61" s="80"/>
      <c r="Q61" s="26"/>
    </row>
    <row r="62" spans="2:17" x14ac:dyDescent="0.2">
      <c r="B62" s="27" t="s">
        <v>56</v>
      </c>
      <c r="C62" s="26"/>
      <c r="D62" s="97"/>
      <c r="E62" s="92"/>
      <c r="F62" s="98"/>
      <c r="G62" s="26"/>
      <c r="H62" s="97"/>
      <c r="I62" s="92"/>
      <c r="J62" s="98"/>
      <c r="K62" s="26"/>
      <c r="L62" s="97"/>
      <c r="M62" s="92"/>
      <c r="N62" s="98"/>
      <c r="O62" s="26"/>
      <c r="P62" s="80"/>
      <c r="Q62" s="26"/>
    </row>
    <row r="63" spans="2:17" x14ac:dyDescent="0.2">
      <c r="B63" s="27" t="s">
        <v>57</v>
      </c>
      <c r="C63" s="26"/>
      <c r="D63" s="97"/>
      <c r="E63" s="92"/>
      <c r="F63" s="98"/>
      <c r="G63" s="26"/>
      <c r="H63" s="97"/>
      <c r="I63" s="92"/>
      <c r="J63" s="98"/>
      <c r="K63" s="26"/>
      <c r="L63" s="97"/>
      <c r="M63" s="92"/>
      <c r="N63" s="98"/>
      <c r="O63" s="26"/>
      <c r="P63" s="80"/>
      <c r="Q63" s="26"/>
    </row>
    <row r="64" spans="2:17" x14ac:dyDescent="0.2">
      <c r="B64" s="27" t="s">
        <v>58</v>
      </c>
      <c r="C64" s="26"/>
      <c r="D64" s="97"/>
      <c r="E64" s="92"/>
      <c r="F64" s="98"/>
      <c r="G64" s="26"/>
      <c r="H64" s="97"/>
      <c r="I64" s="92"/>
      <c r="J64" s="98"/>
      <c r="K64" s="26"/>
      <c r="L64" s="97"/>
      <c r="M64" s="92"/>
      <c r="N64" s="98"/>
      <c r="O64" s="26"/>
      <c r="P64" s="80"/>
      <c r="Q64" s="26"/>
    </row>
    <row r="65" spans="2:17" x14ac:dyDescent="0.2">
      <c r="B65" s="27" t="s">
        <v>59</v>
      </c>
      <c r="C65" s="26"/>
      <c r="D65" s="97"/>
      <c r="E65" s="92"/>
      <c r="F65" s="98"/>
      <c r="G65" s="26"/>
      <c r="H65" s="97"/>
      <c r="I65" s="92"/>
      <c r="J65" s="98"/>
      <c r="K65" s="26"/>
      <c r="L65" s="97"/>
      <c r="M65" s="92"/>
      <c r="N65" s="98"/>
      <c r="O65" s="26"/>
      <c r="P65" s="80"/>
      <c r="Q65" s="26"/>
    </row>
    <row r="66" spans="2:17" x14ac:dyDescent="0.2">
      <c r="B66" s="27" t="s">
        <v>60</v>
      </c>
      <c r="C66" s="26"/>
      <c r="D66" s="97"/>
      <c r="E66" s="92"/>
      <c r="F66" s="98"/>
      <c r="G66" s="26"/>
      <c r="H66" s="97"/>
      <c r="I66" s="92"/>
      <c r="J66" s="98"/>
      <c r="K66" s="26"/>
      <c r="L66" s="97"/>
      <c r="M66" s="92"/>
      <c r="N66" s="98"/>
      <c r="O66" s="26"/>
      <c r="P66" s="80"/>
      <c r="Q66" s="26"/>
    </row>
    <row r="67" spans="2:17" x14ac:dyDescent="0.2">
      <c r="B67" s="27" t="s">
        <v>61</v>
      </c>
      <c r="C67" s="26"/>
      <c r="D67" s="97"/>
      <c r="E67" s="92"/>
      <c r="F67" s="98"/>
      <c r="G67" s="26"/>
      <c r="H67" s="97"/>
      <c r="I67" s="92"/>
      <c r="J67" s="98"/>
      <c r="K67" s="26"/>
      <c r="L67" s="97"/>
      <c r="M67" s="92"/>
      <c r="N67" s="98"/>
      <c r="O67" s="26"/>
      <c r="P67" s="80"/>
      <c r="Q67" s="26"/>
    </row>
    <row r="68" spans="2:17" x14ac:dyDescent="0.2">
      <c r="B68" s="27" t="s">
        <v>62</v>
      </c>
      <c r="C68" s="26"/>
      <c r="D68" s="97"/>
      <c r="E68" s="92"/>
      <c r="F68" s="98"/>
      <c r="G68" s="26"/>
      <c r="H68" s="97"/>
      <c r="I68" s="92"/>
      <c r="J68" s="98"/>
      <c r="K68" s="26"/>
      <c r="L68" s="97"/>
      <c r="M68" s="92"/>
      <c r="N68" s="98"/>
      <c r="O68" s="26"/>
      <c r="P68" s="80"/>
      <c r="Q68" s="26"/>
    </row>
    <row r="69" spans="2:17" x14ac:dyDescent="0.2">
      <c r="B69" s="27" t="s">
        <v>63</v>
      </c>
      <c r="C69" s="26"/>
      <c r="D69" s="97"/>
      <c r="E69" s="92"/>
      <c r="F69" s="98"/>
      <c r="G69" s="26"/>
      <c r="H69" s="97"/>
      <c r="I69" s="92"/>
      <c r="J69" s="98"/>
      <c r="K69" s="26"/>
      <c r="L69" s="97"/>
      <c r="M69" s="92"/>
      <c r="N69" s="98"/>
      <c r="O69" s="26"/>
      <c r="P69" s="80"/>
      <c r="Q69" s="26"/>
    </row>
    <row r="70" spans="2:17" x14ac:dyDescent="0.2">
      <c r="B70" s="26"/>
      <c r="C70" s="26"/>
      <c r="D70" s="26"/>
      <c r="E70" s="26"/>
      <c r="F70" s="26"/>
      <c r="G70" s="26"/>
      <c r="H70" s="26"/>
      <c r="I70" s="26"/>
      <c r="J70" s="26"/>
      <c r="K70" s="26"/>
      <c r="L70" s="26"/>
      <c r="M70" s="26"/>
      <c r="N70" s="26"/>
      <c r="O70" s="26"/>
      <c r="P70" s="26"/>
      <c r="Q70" s="26"/>
    </row>
    <row r="71" spans="2:17" ht="13.5" thickBot="1" x14ac:dyDescent="0.25">
      <c r="B71" s="74" t="s">
        <v>3</v>
      </c>
      <c r="C71" s="26"/>
      <c r="D71" s="81">
        <f>SUM(D58:D69)</f>
        <v>0</v>
      </c>
      <c r="E71" s="82">
        <f>IF(D71&lt;&gt;0,F71/D71,0)</f>
        <v>0</v>
      </c>
      <c r="F71" s="83">
        <f>SUM(F58:F69)</f>
        <v>0</v>
      </c>
      <c r="G71" s="26"/>
      <c r="H71" s="81">
        <f>SUM(H58:H69)</f>
        <v>0</v>
      </c>
      <c r="I71" s="82">
        <f>IF(H71&lt;&gt;0,J71/H71,0)</f>
        <v>0</v>
      </c>
      <c r="J71" s="83">
        <f>SUM(J58:J69)</f>
        <v>0</v>
      </c>
      <c r="K71" s="26"/>
      <c r="L71" s="81">
        <f>SUM(L58:L69)</f>
        <v>0</v>
      </c>
      <c r="M71" s="82">
        <f>IF(L71&lt;&gt;0,N71/L71,0)</f>
        <v>0</v>
      </c>
      <c r="N71" s="83">
        <f>SUM(N58:N69)</f>
        <v>0</v>
      </c>
      <c r="O71" s="26"/>
      <c r="P71" s="83">
        <f>SUM(P58:P69)</f>
        <v>0</v>
      </c>
      <c r="Q71" s="26"/>
    </row>
    <row r="72" spans="2:17" x14ac:dyDescent="0.2">
      <c r="B72" s="26"/>
      <c r="C72" s="26"/>
      <c r="D72" s="26"/>
      <c r="E72" s="26"/>
      <c r="F72" s="26"/>
      <c r="G72" s="26"/>
      <c r="H72" s="26"/>
      <c r="I72" s="26"/>
      <c r="J72" s="26"/>
      <c r="K72" s="26"/>
      <c r="L72" s="26"/>
      <c r="M72" s="26"/>
      <c r="N72" s="26"/>
      <c r="O72" s="26"/>
      <c r="P72" s="26"/>
      <c r="Q72" s="26"/>
    </row>
    <row r="73" spans="2:17" x14ac:dyDescent="0.2">
      <c r="B73" s="71" t="e">
        <f>#REF!</f>
        <v>#REF!</v>
      </c>
      <c r="C73" s="72"/>
      <c r="D73" s="240" t="s">
        <v>0</v>
      </c>
      <c r="E73" s="240"/>
      <c r="F73" s="240"/>
      <c r="G73" s="72"/>
      <c r="H73" s="240" t="s">
        <v>1</v>
      </c>
      <c r="I73" s="240"/>
      <c r="J73" s="240"/>
      <c r="K73" s="72"/>
      <c r="L73" s="240" t="s">
        <v>2</v>
      </c>
      <c r="M73" s="240"/>
      <c r="N73" s="240"/>
      <c r="O73" s="72"/>
      <c r="P73" s="71" t="s">
        <v>48</v>
      </c>
      <c r="Q73" s="26"/>
    </row>
    <row r="74" spans="2:17" x14ac:dyDescent="0.2">
      <c r="B74" s="74"/>
      <c r="C74" s="26"/>
      <c r="D74" s="90"/>
      <c r="E74" s="90"/>
      <c r="F74" s="90"/>
      <c r="G74" s="26"/>
      <c r="H74" s="90"/>
      <c r="I74" s="90"/>
      <c r="J74" s="90"/>
      <c r="K74" s="26"/>
      <c r="L74" s="90"/>
      <c r="M74" s="90"/>
      <c r="N74" s="90"/>
      <c r="O74" s="26"/>
      <c r="P74" s="90"/>
      <c r="Q74" s="26"/>
    </row>
    <row r="75" spans="2:17" x14ac:dyDescent="0.2">
      <c r="B75" s="74" t="s">
        <v>49</v>
      </c>
      <c r="C75" s="26"/>
      <c r="D75" s="90" t="s">
        <v>50</v>
      </c>
      <c r="E75" s="90" t="s">
        <v>9</v>
      </c>
      <c r="F75" s="90" t="s">
        <v>51</v>
      </c>
      <c r="G75" s="26"/>
      <c r="H75" s="90" t="s">
        <v>50</v>
      </c>
      <c r="I75" s="90" t="s">
        <v>9</v>
      </c>
      <c r="J75" s="90" t="s">
        <v>51</v>
      </c>
      <c r="K75" s="26"/>
      <c r="L75" s="90" t="s">
        <v>50</v>
      </c>
      <c r="M75" s="90" t="s">
        <v>9</v>
      </c>
      <c r="N75" s="90" t="s">
        <v>51</v>
      </c>
      <c r="O75" s="26"/>
      <c r="P75" s="90" t="s">
        <v>51</v>
      </c>
      <c r="Q75" s="26"/>
    </row>
    <row r="76" spans="2:17" x14ac:dyDescent="0.2">
      <c r="B76" s="26"/>
      <c r="C76" s="26"/>
      <c r="D76" s="26"/>
      <c r="E76" s="26"/>
      <c r="F76" s="26"/>
      <c r="G76" s="26"/>
      <c r="H76" s="26"/>
      <c r="I76" s="26"/>
      <c r="J76" s="26"/>
      <c r="K76" s="26"/>
      <c r="L76" s="26"/>
      <c r="M76" s="26"/>
      <c r="N76" s="26"/>
      <c r="O76" s="26"/>
      <c r="P76" s="26"/>
      <c r="Q76" s="26"/>
    </row>
    <row r="77" spans="2:17" x14ac:dyDescent="0.2">
      <c r="B77" s="27" t="s">
        <v>52</v>
      </c>
      <c r="C77" s="26"/>
      <c r="D77" s="97"/>
      <c r="E77" s="92"/>
      <c r="F77" s="98"/>
      <c r="G77" s="26"/>
      <c r="H77" s="97"/>
      <c r="I77" s="92"/>
      <c r="J77" s="98"/>
      <c r="K77" s="26"/>
      <c r="L77" s="97"/>
      <c r="M77" s="92"/>
      <c r="N77" s="98"/>
      <c r="O77" s="26"/>
      <c r="P77" s="80"/>
      <c r="Q77" s="26"/>
    </row>
    <row r="78" spans="2:17" x14ac:dyDescent="0.2">
      <c r="B78" s="27" t="s">
        <v>53</v>
      </c>
      <c r="C78" s="26"/>
      <c r="D78" s="97"/>
      <c r="E78" s="92"/>
      <c r="F78" s="98"/>
      <c r="G78" s="26"/>
      <c r="H78" s="97"/>
      <c r="I78" s="92"/>
      <c r="J78" s="98"/>
      <c r="K78" s="26"/>
      <c r="L78" s="97"/>
      <c r="M78" s="92"/>
      <c r="N78" s="98"/>
      <c r="O78" s="26"/>
      <c r="P78" s="80"/>
      <c r="Q78" s="26"/>
    </row>
    <row r="79" spans="2:17" x14ac:dyDescent="0.2">
      <c r="B79" s="27" t="s">
        <v>54</v>
      </c>
      <c r="C79" s="26"/>
      <c r="D79" s="97"/>
      <c r="E79" s="92"/>
      <c r="F79" s="98"/>
      <c r="G79" s="26"/>
      <c r="H79" s="97"/>
      <c r="I79" s="92"/>
      <c r="J79" s="98"/>
      <c r="K79" s="26"/>
      <c r="L79" s="97"/>
      <c r="M79" s="92"/>
      <c r="N79" s="98"/>
      <c r="O79" s="26"/>
      <c r="P79" s="80"/>
      <c r="Q79" s="26"/>
    </row>
    <row r="80" spans="2:17" x14ac:dyDescent="0.2">
      <c r="B80" s="27" t="s">
        <v>55</v>
      </c>
      <c r="C80" s="26"/>
      <c r="D80" s="97"/>
      <c r="E80" s="92"/>
      <c r="F80" s="98"/>
      <c r="G80" s="26"/>
      <c r="H80" s="97"/>
      <c r="I80" s="92"/>
      <c r="J80" s="98"/>
      <c r="K80" s="26"/>
      <c r="L80" s="97"/>
      <c r="M80" s="92"/>
      <c r="N80" s="98"/>
      <c r="O80" s="26"/>
      <c r="P80" s="80"/>
      <c r="Q80" s="26"/>
    </row>
    <row r="81" spans="2:17" x14ac:dyDescent="0.2">
      <c r="B81" s="27" t="s">
        <v>56</v>
      </c>
      <c r="C81" s="26"/>
      <c r="D81" s="97"/>
      <c r="E81" s="92"/>
      <c r="F81" s="98"/>
      <c r="G81" s="26"/>
      <c r="H81" s="97"/>
      <c r="I81" s="92"/>
      <c r="J81" s="98"/>
      <c r="K81" s="26"/>
      <c r="L81" s="97"/>
      <c r="M81" s="92"/>
      <c r="N81" s="98"/>
      <c r="O81" s="26"/>
      <c r="P81" s="80"/>
      <c r="Q81" s="26"/>
    </row>
    <row r="82" spans="2:17" x14ac:dyDescent="0.2">
      <c r="B82" s="27" t="s">
        <v>57</v>
      </c>
      <c r="C82" s="26"/>
      <c r="D82" s="97"/>
      <c r="E82" s="92"/>
      <c r="F82" s="98"/>
      <c r="G82" s="26"/>
      <c r="H82" s="97"/>
      <c r="I82" s="92"/>
      <c r="J82" s="98"/>
      <c r="K82" s="26"/>
      <c r="L82" s="97"/>
      <c r="M82" s="92"/>
      <c r="N82" s="98"/>
      <c r="O82" s="26"/>
      <c r="P82" s="80"/>
      <c r="Q82" s="26"/>
    </row>
    <row r="83" spans="2:17" x14ac:dyDescent="0.2">
      <c r="B83" s="27" t="s">
        <v>58</v>
      </c>
      <c r="C83" s="26"/>
      <c r="D83" s="97"/>
      <c r="E83" s="92"/>
      <c r="F83" s="98"/>
      <c r="G83" s="26"/>
      <c r="H83" s="97"/>
      <c r="I83" s="92"/>
      <c r="J83" s="98"/>
      <c r="K83" s="26"/>
      <c r="L83" s="97"/>
      <c r="M83" s="92"/>
      <c r="N83" s="98"/>
      <c r="O83" s="26"/>
      <c r="P83" s="80"/>
      <c r="Q83" s="26"/>
    </row>
    <row r="84" spans="2:17" x14ac:dyDescent="0.2">
      <c r="B84" s="27" t="s">
        <v>59</v>
      </c>
      <c r="C84" s="26"/>
      <c r="D84" s="97"/>
      <c r="E84" s="92"/>
      <c r="F84" s="98"/>
      <c r="G84" s="26"/>
      <c r="H84" s="97"/>
      <c r="I84" s="92"/>
      <c r="J84" s="98"/>
      <c r="K84" s="26"/>
      <c r="L84" s="97"/>
      <c r="M84" s="92"/>
      <c r="N84" s="98"/>
      <c r="O84" s="26"/>
      <c r="P84" s="80"/>
      <c r="Q84" s="26"/>
    </row>
    <row r="85" spans="2:17" x14ac:dyDescent="0.2">
      <c r="B85" s="27" t="s">
        <v>60</v>
      </c>
      <c r="C85" s="26"/>
      <c r="D85" s="97"/>
      <c r="E85" s="92"/>
      <c r="F85" s="98"/>
      <c r="G85" s="26"/>
      <c r="H85" s="97"/>
      <c r="I85" s="92"/>
      <c r="J85" s="98"/>
      <c r="K85" s="26"/>
      <c r="L85" s="97"/>
      <c r="M85" s="92"/>
      <c r="N85" s="98"/>
      <c r="O85" s="26"/>
      <c r="P85" s="80"/>
      <c r="Q85" s="26"/>
    </row>
    <row r="86" spans="2:17" x14ac:dyDescent="0.2">
      <c r="B86" s="27" t="s">
        <v>61</v>
      </c>
      <c r="C86" s="26"/>
      <c r="D86" s="97"/>
      <c r="E86" s="92"/>
      <c r="F86" s="98"/>
      <c r="G86" s="26"/>
      <c r="H86" s="97"/>
      <c r="I86" s="92"/>
      <c r="J86" s="98"/>
      <c r="K86" s="26"/>
      <c r="L86" s="97"/>
      <c r="M86" s="92"/>
      <c r="N86" s="98"/>
      <c r="O86" s="26"/>
      <c r="P86" s="80"/>
      <c r="Q86" s="26"/>
    </row>
    <row r="87" spans="2:17" x14ac:dyDescent="0.2">
      <c r="B87" s="27" t="s">
        <v>62</v>
      </c>
      <c r="C87" s="26"/>
      <c r="D87" s="97"/>
      <c r="E87" s="92"/>
      <c r="F87" s="98"/>
      <c r="G87" s="26"/>
      <c r="H87" s="97"/>
      <c r="I87" s="92"/>
      <c r="J87" s="98"/>
      <c r="K87" s="26"/>
      <c r="L87" s="97"/>
      <c r="M87" s="92"/>
      <c r="N87" s="98"/>
      <c r="O87" s="26"/>
      <c r="P87" s="80"/>
      <c r="Q87" s="26"/>
    </row>
    <row r="88" spans="2:17" x14ac:dyDescent="0.2">
      <c r="B88" s="27" t="s">
        <v>63</v>
      </c>
      <c r="C88" s="26"/>
      <c r="D88" s="97"/>
      <c r="E88" s="92"/>
      <c r="F88" s="98"/>
      <c r="G88" s="26"/>
      <c r="H88" s="97"/>
      <c r="I88" s="92"/>
      <c r="J88" s="98"/>
      <c r="K88" s="26"/>
      <c r="L88" s="97"/>
      <c r="M88" s="92"/>
      <c r="N88" s="98"/>
      <c r="O88" s="26"/>
      <c r="P88" s="80"/>
      <c r="Q88" s="26"/>
    </row>
    <row r="89" spans="2:17" x14ac:dyDescent="0.2">
      <c r="B89" s="26"/>
      <c r="C89" s="26"/>
      <c r="D89" s="26"/>
      <c r="E89" s="26"/>
      <c r="F89" s="26"/>
      <c r="G89" s="26"/>
      <c r="H89" s="26"/>
      <c r="I89" s="26"/>
      <c r="J89" s="26"/>
      <c r="K89" s="26"/>
      <c r="L89" s="26"/>
      <c r="M89" s="26"/>
      <c r="N89" s="26"/>
      <c r="O89" s="26"/>
      <c r="P89" s="26"/>
      <c r="Q89" s="26"/>
    </row>
    <row r="90" spans="2:17" ht="13.5" thickBot="1" x14ac:dyDescent="0.25">
      <c r="B90" s="74" t="s">
        <v>3</v>
      </c>
      <c r="C90" s="26"/>
      <c r="D90" s="81">
        <f>SUM(D77:D88)</f>
        <v>0</v>
      </c>
      <c r="E90" s="82">
        <f>IF(D90&lt;&gt;0,F90/D90,0)</f>
        <v>0</v>
      </c>
      <c r="F90" s="83">
        <f>SUM(F77:F88)</f>
        <v>0</v>
      </c>
      <c r="G90" s="26"/>
      <c r="H90" s="81">
        <f>SUM(H77:H88)</f>
        <v>0</v>
      </c>
      <c r="I90" s="82">
        <f>IF(H90&lt;&gt;0,J90/H90,0)</f>
        <v>0</v>
      </c>
      <c r="J90" s="83">
        <f>SUM(J77:J88)</f>
        <v>0</v>
      </c>
      <c r="K90" s="26"/>
      <c r="L90" s="81">
        <f>SUM(L77:L88)</f>
        <v>0</v>
      </c>
      <c r="M90" s="82">
        <f>IF(L90&lt;&gt;0,N90/L90,0)</f>
        <v>0</v>
      </c>
      <c r="N90" s="83">
        <f>SUM(N77:N88)</f>
        <v>0</v>
      </c>
      <c r="O90" s="26"/>
      <c r="P90" s="83">
        <f>SUM(P77:P88)</f>
        <v>0</v>
      </c>
      <c r="Q90" s="26"/>
    </row>
    <row r="91" spans="2:17" x14ac:dyDescent="0.2">
      <c r="B91" s="26"/>
      <c r="C91" s="26"/>
      <c r="D91" s="26"/>
      <c r="E91" s="26"/>
      <c r="F91" s="26"/>
      <c r="G91" s="26"/>
      <c r="H91" s="26"/>
      <c r="I91" s="26"/>
      <c r="J91" s="26"/>
      <c r="K91" s="26"/>
      <c r="L91" s="26"/>
      <c r="M91" s="26"/>
      <c r="N91" s="26"/>
      <c r="O91" s="26"/>
      <c r="P91" s="26"/>
      <c r="Q91" s="26"/>
    </row>
    <row r="92" spans="2:17" x14ac:dyDescent="0.2">
      <c r="B92" s="71" t="s">
        <v>3</v>
      </c>
      <c r="C92" s="72"/>
      <c r="D92" s="240" t="s">
        <v>0</v>
      </c>
      <c r="E92" s="240"/>
      <c r="F92" s="240"/>
      <c r="G92" s="72"/>
      <c r="H92" s="240" t="s">
        <v>1</v>
      </c>
      <c r="I92" s="240"/>
      <c r="J92" s="240"/>
      <c r="K92" s="72"/>
      <c r="L92" s="240" t="s">
        <v>2</v>
      </c>
      <c r="M92" s="240"/>
      <c r="N92" s="240"/>
      <c r="O92" s="72"/>
      <c r="P92" s="71" t="s">
        <v>48</v>
      </c>
      <c r="Q92" s="26"/>
    </row>
    <row r="93" spans="2:17" x14ac:dyDescent="0.2">
      <c r="B93" s="26"/>
      <c r="C93" s="26"/>
      <c r="D93" s="241"/>
      <c r="E93" s="241"/>
      <c r="F93" s="241"/>
      <c r="G93" s="26"/>
      <c r="H93" s="241"/>
      <c r="I93" s="241"/>
      <c r="J93" s="241"/>
      <c r="K93" s="26"/>
      <c r="L93" s="241"/>
      <c r="M93" s="241"/>
      <c r="N93" s="241"/>
      <c r="O93" s="26"/>
      <c r="P93" s="90"/>
      <c r="Q93" s="26"/>
    </row>
    <row r="94" spans="2:17" x14ac:dyDescent="0.2">
      <c r="B94" s="74" t="s">
        <v>49</v>
      </c>
      <c r="C94" s="26"/>
      <c r="D94" s="90" t="s">
        <v>50</v>
      </c>
      <c r="E94" s="90" t="s">
        <v>9</v>
      </c>
      <c r="F94" s="90" t="s">
        <v>51</v>
      </c>
      <c r="G94" s="26"/>
      <c r="H94" s="90" t="s">
        <v>50</v>
      </c>
      <c r="I94" s="90" t="s">
        <v>9</v>
      </c>
      <c r="J94" s="90" t="s">
        <v>51</v>
      </c>
      <c r="K94" s="26"/>
      <c r="L94" s="90" t="s">
        <v>50</v>
      </c>
      <c r="M94" s="90" t="s">
        <v>9</v>
      </c>
      <c r="N94" s="90" t="s">
        <v>51</v>
      </c>
      <c r="O94" s="26"/>
      <c r="P94" s="90" t="s">
        <v>51</v>
      </c>
      <c r="Q94" s="26"/>
    </row>
    <row r="95" spans="2:17" x14ac:dyDescent="0.2">
      <c r="B95" s="26"/>
      <c r="C95" s="26"/>
      <c r="D95" s="26"/>
      <c r="E95" s="26"/>
      <c r="F95" s="26"/>
      <c r="G95" s="26"/>
      <c r="H95" s="26"/>
      <c r="I95" s="26"/>
      <c r="J95" s="26"/>
      <c r="K95" s="26"/>
      <c r="L95" s="26"/>
      <c r="M95" s="26"/>
      <c r="N95" s="26"/>
      <c r="O95" s="26"/>
      <c r="P95" s="26"/>
      <c r="Q95" s="26"/>
    </row>
    <row r="96" spans="2:17" x14ac:dyDescent="0.2">
      <c r="B96" s="27" t="s">
        <v>52</v>
      </c>
      <c r="C96" s="26"/>
      <c r="D96" s="91">
        <f>D20+D39+D58+D77</f>
        <v>696511.88987982809</v>
      </c>
      <c r="E96" s="92">
        <f t="shared" ref="E96:E107" si="14">IF(D96&lt;&gt;0,F96/D96,0)</f>
        <v>7.8895744058007446</v>
      </c>
      <c r="F96" s="80">
        <f>F20+F39+F58+F77</f>
        <v>5495182.3797317985</v>
      </c>
      <c r="G96" s="26"/>
      <c r="H96" s="91">
        <f>H20+H39+H58+H77</f>
        <v>487768.80942186865</v>
      </c>
      <c r="I96" s="92">
        <f t="shared" ref="I96:I107" si="15">IF(H96&lt;&gt;0,J96/H96,0)</f>
        <v>1.0953198904056856</v>
      </c>
      <c r="J96" s="80">
        <f>J20+J39+J58+J77</f>
        <v>534262.87887927284</v>
      </c>
      <c r="K96" s="26"/>
      <c r="L96" s="91">
        <f>L20+L39+L58+L77</f>
        <v>738420.25896785315</v>
      </c>
      <c r="M96" s="92">
        <f t="shared" ref="M96:M107" si="16">IF(L96&lt;&gt;0,N96/L96,0)</f>
        <v>4.6269552165420533</v>
      </c>
      <c r="N96" s="80">
        <f>N20+N39+N58+N77</f>
        <v>3416637.4692316419</v>
      </c>
      <c r="O96" s="26"/>
      <c r="P96" s="80">
        <f t="shared" ref="P96:P107" si="17">J96+N96</f>
        <v>3950900.3481109147</v>
      </c>
      <c r="Q96" s="26"/>
    </row>
    <row r="97" spans="2:17" x14ac:dyDescent="0.2">
      <c r="B97" s="27" t="s">
        <v>53</v>
      </c>
      <c r="C97" s="26"/>
      <c r="D97" s="91">
        <f t="shared" ref="D97:D107" si="18">D21+D40+D59+D78</f>
        <v>689661.54151797947</v>
      </c>
      <c r="E97" s="92">
        <f t="shared" si="14"/>
        <v>7.8837018691086422</v>
      </c>
      <c r="F97" s="80">
        <f t="shared" ref="F97:F107" si="19">F21+F40+F59+F78</f>
        <v>5437085.9839176424</v>
      </c>
      <c r="G97" s="26"/>
      <c r="H97" s="91">
        <f t="shared" ref="H97:H107" si="20">H21+H40+H59+H78</f>
        <v>472902.53765047633</v>
      </c>
      <c r="I97" s="92">
        <f t="shared" si="15"/>
        <v>1.1093230839412349</v>
      </c>
      <c r="J97" s="80">
        <f t="shared" ref="J97:J107" si="21">J21+J40+J59+J78</f>
        <v>524601.70147006237</v>
      </c>
      <c r="K97" s="26"/>
      <c r="L97" s="91">
        <f t="shared" ref="L97:L107" si="22">L21+L40+L59+L78</f>
        <v>714199.15045239637</v>
      </c>
      <c r="M97" s="92">
        <f t="shared" si="16"/>
        <v>4.6260830899614342</v>
      </c>
      <c r="N97" s="80">
        <f t="shared" ref="N97:N107" si="23">N21+N40+N59+N78</f>
        <v>3303944.6127726533</v>
      </c>
      <c r="O97" s="26"/>
      <c r="P97" s="80">
        <f t="shared" si="17"/>
        <v>3828546.3142427159</v>
      </c>
      <c r="Q97" s="26"/>
    </row>
    <row r="98" spans="2:17" x14ac:dyDescent="0.2">
      <c r="B98" s="27" t="s">
        <v>54</v>
      </c>
      <c r="C98" s="26"/>
      <c r="D98" s="91">
        <f t="shared" si="18"/>
        <v>632157.19403519656</v>
      </c>
      <c r="E98" s="92">
        <f t="shared" si="14"/>
        <v>7.9307506693875558</v>
      </c>
      <c r="F98" s="80">
        <f t="shared" si="19"/>
        <v>5013481.0897527942</v>
      </c>
      <c r="G98" s="26"/>
      <c r="H98" s="91">
        <f t="shared" si="20"/>
        <v>426430.85001235805</v>
      </c>
      <c r="I98" s="92">
        <f t="shared" si="15"/>
        <v>1.1203323726887171</v>
      </c>
      <c r="J98" s="80">
        <f t="shared" si="21"/>
        <v>477744.28598201153</v>
      </c>
      <c r="K98" s="26"/>
      <c r="L98" s="91">
        <f t="shared" si="22"/>
        <v>647382.87031140889</v>
      </c>
      <c r="M98" s="92">
        <f t="shared" si="16"/>
        <v>4.622251164519982</v>
      </c>
      <c r="N98" s="80">
        <f t="shared" si="23"/>
        <v>2992366.2261871984</v>
      </c>
      <c r="O98" s="26"/>
      <c r="P98" s="80">
        <f t="shared" si="17"/>
        <v>3470110.5121692098</v>
      </c>
      <c r="Q98" s="26"/>
    </row>
    <row r="99" spans="2:17" x14ac:dyDescent="0.2">
      <c r="B99" s="27" t="s">
        <v>55</v>
      </c>
      <c r="C99" s="26"/>
      <c r="D99" s="91">
        <f t="shared" si="18"/>
        <v>589650.40747568209</v>
      </c>
      <c r="E99" s="92">
        <f t="shared" si="14"/>
        <v>7.9605503305141276</v>
      </c>
      <c r="F99" s="80">
        <f t="shared" si="19"/>
        <v>4693941.7461183313</v>
      </c>
      <c r="G99" s="26"/>
      <c r="H99" s="91">
        <f t="shared" si="20"/>
        <v>397479.37035541295</v>
      </c>
      <c r="I99" s="92">
        <f t="shared" si="15"/>
        <v>1.1252145365934552</v>
      </c>
      <c r="J99" s="80">
        <f t="shared" si="21"/>
        <v>447249.56551992428</v>
      </c>
      <c r="K99" s="26"/>
      <c r="L99" s="91">
        <f t="shared" si="22"/>
        <v>597338.72814598458</v>
      </c>
      <c r="M99" s="92">
        <f t="shared" si="16"/>
        <v>4.619589443231134</v>
      </c>
      <c r="N99" s="80">
        <f t="shared" si="23"/>
        <v>2759459.6825763024</v>
      </c>
      <c r="O99" s="26"/>
      <c r="P99" s="80">
        <f t="shared" si="17"/>
        <v>3206709.2480962267</v>
      </c>
      <c r="Q99" s="26"/>
    </row>
    <row r="100" spans="2:17" x14ac:dyDescent="0.2">
      <c r="B100" s="27" t="s">
        <v>56</v>
      </c>
      <c r="C100" s="26"/>
      <c r="D100" s="91">
        <f t="shared" si="18"/>
        <v>709737.6192269671</v>
      </c>
      <c r="E100" s="92">
        <f t="shared" si="14"/>
        <v>7.9751372175940656</v>
      </c>
      <c r="F100" s="80">
        <f t="shared" si="19"/>
        <v>5660254.9018235905</v>
      </c>
      <c r="G100" s="26"/>
      <c r="H100" s="91">
        <f t="shared" si="20"/>
        <v>479716.97807406064</v>
      </c>
      <c r="I100" s="92">
        <f t="shared" si="15"/>
        <v>1.1459468852549417</v>
      </c>
      <c r="J100" s="80">
        <f t="shared" si="21"/>
        <v>549730.176827883</v>
      </c>
      <c r="K100" s="26"/>
      <c r="L100" s="91">
        <f t="shared" si="22"/>
        <v>725455.90376825421</v>
      </c>
      <c r="M100" s="92">
        <f t="shared" si="16"/>
        <v>4.6167548244238965</v>
      </c>
      <c r="N100" s="80">
        <f t="shared" si="23"/>
        <v>3349252.0436288854</v>
      </c>
      <c r="O100" s="26"/>
      <c r="P100" s="80">
        <f t="shared" si="17"/>
        <v>3898982.2204567683</v>
      </c>
      <c r="Q100" s="26"/>
    </row>
    <row r="101" spans="2:17" x14ac:dyDescent="0.2">
      <c r="B101" s="27" t="s">
        <v>57</v>
      </c>
      <c r="C101" s="26"/>
      <c r="D101" s="91">
        <f t="shared" si="18"/>
        <v>851835.89138863503</v>
      </c>
      <c r="E101" s="92">
        <f t="shared" si="14"/>
        <v>7.9372326919552636</v>
      </c>
      <c r="F101" s="80">
        <f t="shared" si="19"/>
        <v>6761219.685310727</v>
      </c>
      <c r="G101" s="26"/>
      <c r="H101" s="91">
        <f t="shared" si="20"/>
        <v>624372.49270162545</v>
      </c>
      <c r="I101" s="92">
        <f t="shared" si="15"/>
        <v>1.1368470309295098</v>
      </c>
      <c r="J101" s="80">
        <f t="shared" si="21"/>
        <v>709816.01452189987</v>
      </c>
      <c r="K101" s="26"/>
      <c r="L101" s="91">
        <f t="shared" si="22"/>
        <v>894993.36784083408</v>
      </c>
      <c r="M101" s="92">
        <f t="shared" si="16"/>
        <v>4.619505231864073</v>
      </c>
      <c r="N101" s="80">
        <f t="shared" si="23"/>
        <v>4134426.5452243797</v>
      </c>
      <c r="O101" s="26"/>
      <c r="P101" s="80">
        <f t="shared" si="17"/>
        <v>4844242.5597462794</v>
      </c>
      <c r="Q101" s="26"/>
    </row>
    <row r="102" spans="2:17" x14ac:dyDescent="0.2">
      <c r="B102" s="27" t="s">
        <v>58</v>
      </c>
      <c r="C102" s="26"/>
      <c r="D102" s="91">
        <f t="shared" si="18"/>
        <v>879307.64368353994</v>
      </c>
      <c r="E102" s="92">
        <f t="shared" si="14"/>
        <v>7.9789067120874284</v>
      </c>
      <c r="F102" s="80">
        <f t="shared" si="19"/>
        <v>7015913.6601763777</v>
      </c>
      <c r="G102" s="26"/>
      <c r="H102" s="91">
        <f t="shared" si="20"/>
        <v>615081.64481870632</v>
      </c>
      <c r="I102" s="92">
        <f t="shared" si="15"/>
        <v>1.1500814228380225</v>
      </c>
      <c r="J102" s="80">
        <f t="shared" si="21"/>
        <v>707393.97323464893</v>
      </c>
      <c r="K102" s="26"/>
      <c r="L102" s="91">
        <f t="shared" si="22"/>
        <v>893932.63867458317</v>
      </c>
      <c r="M102" s="92">
        <f t="shared" si="16"/>
        <v>4.6163128710252144</v>
      </c>
      <c r="N102" s="80">
        <f t="shared" si="23"/>
        <v>4126672.7457430107</v>
      </c>
      <c r="O102" s="26"/>
      <c r="P102" s="80">
        <f t="shared" si="17"/>
        <v>4834066.7189776599</v>
      </c>
      <c r="Q102" s="26"/>
    </row>
    <row r="103" spans="2:17" x14ac:dyDescent="0.2">
      <c r="B103" s="27" t="s">
        <v>59</v>
      </c>
      <c r="C103" s="26"/>
      <c r="D103" s="91">
        <f t="shared" si="18"/>
        <v>897350.80466634897</v>
      </c>
      <c r="E103" s="92">
        <f t="shared" si="14"/>
        <v>7.9440841740222341</v>
      </c>
      <c r="F103" s="80">
        <f t="shared" si="19"/>
        <v>7128630.3258960601</v>
      </c>
      <c r="G103" s="26"/>
      <c r="H103" s="91">
        <f t="shared" si="20"/>
        <v>597647.89525360859</v>
      </c>
      <c r="I103" s="92">
        <f t="shared" si="15"/>
        <v>1.1496337883226388</v>
      </c>
      <c r="J103" s="80">
        <f t="shared" si="21"/>
        <v>687076.21390345762</v>
      </c>
      <c r="K103" s="26"/>
      <c r="L103" s="91">
        <f t="shared" si="22"/>
        <v>921257.78495058557</v>
      </c>
      <c r="M103" s="92">
        <f t="shared" si="16"/>
        <v>4.6201621338915828</v>
      </c>
      <c r="N103" s="80">
        <f t="shared" si="23"/>
        <v>4256360.3335815305</v>
      </c>
      <c r="O103" s="26"/>
      <c r="P103" s="80">
        <f t="shared" si="17"/>
        <v>4943436.5474849883</v>
      </c>
      <c r="Q103" s="26"/>
    </row>
    <row r="104" spans="2:17" x14ac:dyDescent="0.2">
      <c r="B104" s="27" t="s">
        <v>60</v>
      </c>
      <c r="C104" s="26"/>
      <c r="D104" s="91">
        <f t="shared" si="18"/>
        <v>766695.0991657289</v>
      </c>
      <c r="E104" s="92">
        <f t="shared" si="14"/>
        <v>7.9563846921638133</v>
      </c>
      <c r="F104" s="80">
        <f t="shared" si="19"/>
        <v>6100121.1505592223</v>
      </c>
      <c r="G104" s="26"/>
      <c r="H104" s="91">
        <f t="shared" si="20"/>
        <v>500174.60472062073</v>
      </c>
      <c r="I104" s="92">
        <f t="shared" si="15"/>
        <v>1.1438643939092219</v>
      </c>
      <c r="J104" s="80">
        <f t="shared" si="21"/>
        <v>572131.92107753747</v>
      </c>
      <c r="K104" s="26"/>
      <c r="L104" s="91">
        <f t="shared" si="22"/>
        <v>769572.44247766153</v>
      </c>
      <c r="M104" s="92">
        <f t="shared" si="16"/>
        <v>4.6197340266191702</v>
      </c>
      <c r="N104" s="80">
        <f t="shared" si="23"/>
        <v>3555219.9984624772</v>
      </c>
      <c r="O104" s="26"/>
      <c r="P104" s="80">
        <f t="shared" si="17"/>
        <v>4127351.9195400146</v>
      </c>
      <c r="Q104" s="26"/>
    </row>
    <row r="105" spans="2:17" x14ac:dyDescent="0.2">
      <c r="B105" s="27" t="s">
        <v>61</v>
      </c>
      <c r="C105" s="26"/>
      <c r="D105" s="91">
        <f t="shared" si="18"/>
        <v>635205.87673464185</v>
      </c>
      <c r="E105" s="92">
        <f t="shared" si="14"/>
        <v>7.9481986392470647</v>
      </c>
      <c r="F105" s="80">
        <f t="shared" si="19"/>
        <v>5048742.4851040188</v>
      </c>
      <c r="G105" s="26"/>
      <c r="H105" s="91">
        <f t="shared" si="20"/>
        <v>476802.17346234911</v>
      </c>
      <c r="I105" s="92">
        <f t="shared" si="15"/>
        <v>1.1649817834687399</v>
      </c>
      <c r="J105" s="80">
        <f t="shared" si="21"/>
        <v>555465.84640193894</v>
      </c>
      <c r="K105" s="26"/>
      <c r="L105" s="91">
        <f t="shared" si="22"/>
        <v>655990.46791765047</v>
      </c>
      <c r="M105" s="92">
        <f t="shared" si="16"/>
        <v>4.6193950148884291</v>
      </c>
      <c r="N105" s="80">
        <f t="shared" si="23"/>
        <v>3030279.0973131228</v>
      </c>
      <c r="O105" s="26"/>
      <c r="P105" s="80">
        <f t="shared" si="17"/>
        <v>3585744.943715062</v>
      </c>
      <c r="Q105" s="26"/>
    </row>
    <row r="106" spans="2:17" x14ac:dyDescent="0.2">
      <c r="B106" s="27" t="s">
        <v>62</v>
      </c>
      <c r="C106" s="26"/>
      <c r="D106" s="91">
        <f t="shared" si="18"/>
        <v>644550.08077934803</v>
      </c>
      <c r="E106" s="92">
        <f t="shared" si="14"/>
        <v>7.9118402341478467</v>
      </c>
      <c r="F106" s="80">
        <f t="shared" si="19"/>
        <v>5099577.2620332902</v>
      </c>
      <c r="G106" s="26"/>
      <c r="H106" s="91">
        <f t="shared" si="20"/>
        <v>436282.81060729537</v>
      </c>
      <c r="I106" s="92">
        <f t="shared" si="15"/>
        <v>1.1247401679004201</v>
      </c>
      <c r="J106" s="80">
        <f t="shared" si="21"/>
        <v>490704.8016545166</v>
      </c>
      <c r="K106" s="26"/>
      <c r="L106" s="91">
        <f t="shared" si="22"/>
        <v>626847.26250851108</v>
      </c>
      <c r="M106" s="92">
        <f t="shared" si="16"/>
        <v>4.627497497508406</v>
      </c>
      <c r="N106" s="80">
        <f t="shared" si="23"/>
        <v>2900734.1385781299</v>
      </c>
      <c r="O106" s="26"/>
      <c r="P106" s="80">
        <f t="shared" si="17"/>
        <v>3391438.9402326467</v>
      </c>
      <c r="Q106" s="26"/>
    </row>
    <row r="107" spans="2:17" x14ac:dyDescent="0.2">
      <c r="B107" s="27" t="s">
        <v>63</v>
      </c>
      <c r="C107" s="26"/>
      <c r="D107" s="91">
        <f t="shared" si="18"/>
        <v>684729.45012773131</v>
      </c>
      <c r="E107" s="92">
        <f t="shared" si="14"/>
        <v>7.9287260813124716</v>
      </c>
      <c r="F107" s="80">
        <f t="shared" si="19"/>
        <v>5429032.2498704903</v>
      </c>
      <c r="G107" s="26"/>
      <c r="H107" s="91">
        <f t="shared" si="20"/>
        <v>503341.48739390972</v>
      </c>
      <c r="I107" s="92">
        <f t="shared" si="15"/>
        <v>1.1382887217771558</v>
      </c>
      <c r="J107" s="80">
        <f t="shared" si="21"/>
        <v>572947.93830302591</v>
      </c>
      <c r="K107" s="26"/>
      <c r="L107" s="91">
        <f t="shared" si="22"/>
        <v>690734.37245416874</v>
      </c>
      <c r="M107" s="92">
        <f t="shared" si="16"/>
        <v>4.623770135627904</v>
      </c>
      <c r="N107" s="80">
        <f t="shared" si="23"/>
        <v>3193796.9630052666</v>
      </c>
      <c r="O107" s="26"/>
      <c r="P107" s="80">
        <f t="shared" si="17"/>
        <v>3766744.9013082925</v>
      </c>
      <c r="Q107" s="26"/>
    </row>
    <row r="108" spans="2:17" x14ac:dyDescent="0.2">
      <c r="B108" s="26"/>
      <c r="C108" s="26"/>
      <c r="D108" s="26"/>
      <c r="E108" s="26"/>
      <c r="F108" s="26"/>
      <c r="G108" s="26"/>
      <c r="H108" s="26"/>
      <c r="I108" s="26"/>
      <c r="J108" s="26"/>
      <c r="K108" s="26"/>
      <c r="L108" s="26"/>
      <c r="M108" s="26"/>
      <c r="N108" s="26"/>
      <c r="O108" s="26"/>
      <c r="P108" s="80"/>
      <c r="Q108" s="26"/>
    </row>
    <row r="109" spans="2:17" ht="13.5" thickBot="1" x14ac:dyDescent="0.25">
      <c r="B109" s="74" t="s">
        <v>3</v>
      </c>
      <c r="C109" s="26"/>
      <c r="D109" s="81">
        <f>SUM(D96:D107)</f>
        <v>8677393.4986816272</v>
      </c>
      <c r="E109" s="82">
        <f>IF(D109&lt;&gt;0,F109/D109,0)</f>
        <v>7.9382343247151228</v>
      </c>
      <c r="F109" s="83">
        <f>SUM(F96:F107)</f>
        <v>68883182.920294344</v>
      </c>
      <c r="G109" s="26"/>
      <c r="H109" s="81">
        <f>SUM(H96:H107)</f>
        <v>6018001.6544722924</v>
      </c>
      <c r="I109" s="82">
        <f>IF(H109&lt;&gt;0,J109/H109,0)</f>
        <v>1.1347828913774223</v>
      </c>
      <c r="J109" s="83">
        <f>SUM(J96:J107)</f>
        <v>6829125.3177761789</v>
      </c>
      <c r="K109" s="26"/>
      <c r="L109" s="81">
        <f>SUM(L96:L107)</f>
        <v>8876125.248469891</v>
      </c>
      <c r="M109" s="82">
        <f>IF(L109&lt;&gt;0,N109/L109,0)</f>
        <v>4.6212901134282305</v>
      </c>
      <c r="N109" s="83">
        <f>SUM(N96:N107)</f>
        <v>41019149.856304601</v>
      </c>
      <c r="O109" s="26"/>
      <c r="P109" s="83">
        <f>SUM(P96:P107)</f>
        <v>47848275.174080782</v>
      </c>
      <c r="Q109" s="26"/>
    </row>
    <row r="111" spans="2:17" x14ac:dyDescent="0.2">
      <c r="N111" s="94" t="s">
        <v>68</v>
      </c>
      <c r="P111" s="95"/>
    </row>
    <row r="113" spans="14:16" ht="13.5" thickBot="1" x14ac:dyDescent="0.25">
      <c r="N113" s="96" t="s">
        <v>69</v>
      </c>
      <c r="P113" s="83">
        <f>P109+P111</f>
        <v>47848275.174080782</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763A-6430-44BC-A16A-ECD88C5AB92C}">
  <dimension ref="A3:M49"/>
  <sheetViews>
    <sheetView topLeftCell="B16" workbookViewId="0">
      <selection activeCell="J39" sqref="J39"/>
    </sheetView>
  </sheetViews>
  <sheetFormatPr defaultColWidth="9.28515625" defaultRowHeight="12.75" x14ac:dyDescent="0.2"/>
  <cols>
    <col min="1" max="1" width="56.7109375" style="1" customWidth="1"/>
    <col min="2" max="2" width="79.7109375" style="1" customWidth="1"/>
    <col min="3" max="3" width="9.28515625" style="99"/>
    <col min="4" max="4" width="16.28515625" style="99" customWidth="1"/>
    <col min="5" max="5" width="17.42578125" style="99" customWidth="1"/>
    <col min="6" max="6" width="16.28515625" style="99" customWidth="1"/>
    <col min="7" max="7" width="14.5703125" style="99" customWidth="1"/>
    <col min="8" max="8" width="11.5703125" style="99" customWidth="1"/>
    <col min="9" max="9" width="14.28515625" style="99" customWidth="1"/>
    <col min="10" max="10" width="14.42578125" style="99" customWidth="1"/>
    <col min="11" max="11" width="9.28515625" style="1"/>
    <col min="12" max="12" width="14.28515625" style="1" customWidth="1"/>
    <col min="13" max="13" width="12.140625" style="1" customWidth="1"/>
    <col min="14" max="16384" width="9.28515625" style="1"/>
  </cols>
  <sheetData>
    <row r="3" spans="1:13" x14ac:dyDescent="0.2">
      <c r="D3" s="100"/>
      <c r="E3" s="101"/>
      <c r="F3" s="101"/>
      <c r="G3" s="101"/>
      <c r="H3" s="102"/>
      <c r="I3" s="101"/>
      <c r="J3" s="100"/>
    </row>
    <row r="4" spans="1:13" x14ac:dyDescent="0.2">
      <c r="D4" s="100"/>
      <c r="E4" s="101"/>
      <c r="F4" s="101"/>
      <c r="G4" s="101"/>
      <c r="H4" s="102"/>
      <c r="I4" s="101"/>
      <c r="J4" s="100"/>
    </row>
    <row r="5" spans="1:13" x14ac:dyDescent="0.2">
      <c r="D5" s="100"/>
      <c r="E5" s="101"/>
      <c r="F5" s="101"/>
      <c r="G5" s="101"/>
      <c r="H5" s="102"/>
      <c r="I5" s="101"/>
      <c r="J5" s="100"/>
    </row>
    <row r="6" spans="1:13" x14ac:dyDescent="0.2">
      <c r="D6" s="100"/>
      <c r="E6" s="101"/>
      <c r="F6" s="101"/>
      <c r="G6" s="101"/>
      <c r="H6" s="102"/>
      <c r="I6" s="101"/>
      <c r="J6" s="100"/>
    </row>
    <row r="7" spans="1:13" x14ac:dyDescent="0.2">
      <c r="D7" s="100"/>
      <c r="E7" s="101"/>
      <c r="F7" s="101"/>
      <c r="G7" s="101"/>
      <c r="H7" s="102"/>
      <c r="I7" s="101"/>
      <c r="J7" s="100"/>
    </row>
    <row r="8" spans="1:13" x14ac:dyDescent="0.2">
      <c r="D8" s="100"/>
      <c r="E8" s="101"/>
      <c r="F8" s="101"/>
      <c r="G8" s="101"/>
      <c r="H8" s="102"/>
      <c r="I8" s="101"/>
      <c r="J8" s="100"/>
    </row>
    <row r="9" spans="1:13" x14ac:dyDescent="0.2">
      <c r="D9" s="100"/>
      <c r="E9" s="101"/>
      <c r="F9" s="101"/>
      <c r="G9" s="101"/>
      <c r="H9" s="102"/>
      <c r="I9" s="101"/>
      <c r="J9" s="100"/>
    </row>
    <row r="10" spans="1:13" x14ac:dyDescent="0.2">
      <c r="D10" s="100"/>
      <c r="E10" s="101"/>
      <c r="F10" s="101"/>
      <c r="G10" s="101"/>
      <c r="H10" s="102"/>
      <c r="I10" s="101"/>
      <c r="J10" s="100"/>
    </row>
    <row r="11" spans="1:13" x14ac:dyDescent="0.2">
      <c r="D11" s="100"/>
      <c r="E11" s="101"/>
      <c r="F11" s="101"/>
      <c r="G11" s="101"/>
      <c r="H11" s="102"/>
      <c r="I11" s="101"/>
      <c r="J11" s="100"/>
    </row>
    <row r="12" spans="1:13" x14ac:dyDescent="0.2">
      <c r="D12" s="100"/>
      <c r="E12" s="101"/>
      <c r="F12" s="101"/>
      <c r="G12" s="101"/>
      <c r="H12" s="102"/>
      <c r="I12" s="101"/>
      <c r="J12" s="100"/>
    </row>
    <row r="13" spans="1:13" ht="15.75" x14ac:dyDescent="0.25">
      <c r="A13" s="103" t="s">
        <v>71</v>
      </c>
      <c r="D13" s="100"/>
      <c r="E13" s="101"/>
      <c r="F13" s="101"/>
      <c r="G13" s="101"/>
      <c r="H13" s="102"/>
      <c r="I13" s="101"/>
      <c r="J13" s="100"/>
    </row>
    <row r="14" spans="1:13" x14ac:dyDescent="0.2">
      <c r="D14" s="100"/>
      <c r="E14" s="101"/>
      <c r="F14" s="101"/>
      <c r="G14" s="101"/>
      <c r="H14" s="102"/>
      <c r="I14" s="101"/>
      <c r="J14" s="100"/>
    </row>
    <row r="15" spans="1:13" ht="47.25" x14ac:dyDescent="0.2">
      <c r="A15" s="104" t="s">
        <v>6</v>
      </c>
      <c r="B15" s="104" t="s">
        <v>7</v>
      </c>
      <c r="C15" s="105" t="s">
        <v>8</v>
      </c>
      <c r="D15" s="106" t="s">
        <v>72</v>
      </c>
      <c r="E15" s="107" t="s">
        <v>13</v>
      </c>
      <c r="F15" s="108" t="s">
        <v>73</v>
      </c>
      <c r="G15" s="109" t="s">
        <v>74</v>
      </c>
      <c r="H15" s="110" t="s">
        <v>75</v>
      </c>
      <c r="I15" s="108" t="s">
        <v>76</v>
      </c>
      <c r="J15" s="111" t="s">
        <v>77</v>
      </c>
    </row>
    <row r="16" spans="1:13" x14ac:dyDescent="0.2">
      <c r="G16" s="112"/>
      <c r="M16" s="118"/>
    </row>
    <row r="17" spans="1:13" x14ac:dyDescent="0.2">
      <c r="A17" s="1" t="s">
        <v>14</v>
      </c>
      <c r="B17" s="1" t="s">
        <v>15</v>
      </c>
      <c r="C17" s="99" t="s">
        <v>16</v>
      </c>
      <c r="D17" s="100">
        <f>'8. RTSR Rates to Forecast 2030'!J17</f>
        <v>1.4999999999999999E-2</v>
      </c>
      <c r="E17" s="112">
        <f>'3. RRR Data 2031'!H17</f>
        <v>1678685766.0707581</v>
      </c>
      <c r="F17" s="112">
        <f>'3. RRR Data 2031'!F17</f>
        <v>0</v>
      </c>
      <c r="G17" s="112">
        <f>IF(D17*E17=0,ROUND(D17*F17,2),ROUND(D17*E17,2))</f>
        <v>25180286.489999998</v>
      </c>
      <c r="H17" s="113">
        <f t="shared" ref="H17:H28" si="0">G17/$G$28</f>
        <v>0.38768643287212262</v>
      </c>
      <c r="I17" s="112">
        <f>H17*$I$28</f>
        <v>26705075.471246839</v>
      </c>
      <c r="J17" s="100">
        <f>IF(I17*E17=0,ROUND(I17/F17,4),ROUND(I17/E17,4))</f>
        <v>1.5900000000000001E-2</v>
      </c>
      <c r="K17" s="121"/>
      <c r="L17" s="124"/>
      <c r="M17" s="118"/>
    </row>
    <row r="18" spans="1:13" x14ac:dyDescent="0.2">
      <c r="A18" s="1" t="s">
        <v>18</v>
      </c>
      <c r="B18" s="1" t="s">
        <v>15</v>
      </c>
      <c r="C18" s="99" t="s">
        <v>16</v>
      </c>
      <c r="D18" s="100">
        <f>'8. RTSR Rates to Forecast 2030'!J18</f>
        <v>1.5100000000000001E-2</v>
      </c>
      <c r="E18" s="112">
        <f>'3. RRR Data 2031'!H19</f>
        <v>15482267.455741264</v>
      </c>
      <c r="F18" s="112">
        <f>'3. RRR Data 2031'!F19</f>
        <v>0</v>
      </c>
      <c r="G18" s="112">
        <f t="shared" ref="G18:G27" si="1">IF(D18*E18=0,ROUND(D18*F18,2),ROUND(D18*E18,2))</f>
        <v>233782.24</v>
      </c>
      <c r="H18" s="113">
        <f t="shared" si="0"/>
        <v>3.5994111000464024E-3</v>
      </c>
      <c r="I18" s="112">
        <f t="shared" ref="I18:I27" si="2">H18*$I$28</f>
        <v>247938.89320983423</v>
      </c>
      <c r="J18" s="100">
        <f t="shared" ref="J18:J27" si="3">IF(I18*E18=0,ROUND(I18/F18,4),ROUND(I18/E18,4))</f>
        <v>1.6E-2</v>
      </c>
      <c r="K18" s="121"/>
      <c r="L18" s="124"/>
      <c r="M18" s="118"/>
    </row>
    <row r="19" spans="1:13" x14ac:dyDescent="0.2">
      <c r="A19" s="1" t="s">
        <v>19</v>
      </c>
      <c r="B19" s="1" t="s">
        <v>15</v>
      </c>
      <c r="C19" s="99" t="s">
        <v>16</v>
      </c>
      <c r="D19" s="100">
        <f>'8. RTSR Rates to Forecast 2030'!J19</f>
        <v>1.3599999999999999E-2</v>
      </c>
      <c r="E19" s="112">
        <f>'3. RRR Data 2031'!H21</f>
        <v>371167930.69561154</v>
      </c>
      <c r="F19" s="112">
        <f>'3. RRR Data 2031'!F21</f>
        <v>0</v>
      </c>
      <c r="G19" s="112">
        <f t="shared" si="1"/>
        <v>5047883.8600000003</v>
      </c>
      <c r="H19" s="113">
        <f t="shared" si="0"/>
        <v>7.7719373368263914E-2</v>
      </c>
      <c r="I19" s="112">
        <f t="shared" si="2"/>
        <v>5353557.8121767761</v>
      </c>
      <c r="J19" s="100">
        <f t="shared" si="3"/>
        <v>1.44E-2</v>
      </c>
      <c r="K19" s="121"/>
      <c r="L19" s="124"/>
      <c r="M19" s="118"/>
    </row>
    <row r="20" spans="1:13" x14ac:dyDescent="0.2">
      <c r="A20" s="1" t="s">
        <v>20</v>
      </c>
      <c r="B20" s="1" t="s">
        <v>15</v>
      </c>
      <c r="C20" s="99" t="s">
        <v>21</v>
      </c>
      <c r="D20" s="100">
        <f>'8. RTSR Rates to Forecast 2030'!J20</f>
        <v>6.2925000000000004</v>
      </c>
      <c r="E20" s="112"/>
      <c r="F20" s="112">
        <f>'3. RRR Data 2031'!F23</f>
        <v>3339968.745634567</v>
      </c>
      <c r="G20" s="112">
        <f t="shared" si="1"/>
        <v>21016753.329999998</v>
      </c>
      <c r="H20" s="113">
        <f t="shared" si="0"/>
        <v>0.3235829001507522</v>
      </c>
      <c r="I20" s="112">
        <f t="shared" si="2"/>
        <v>22289420.100963604</v>
      </c>
      <c r="J20" s="100">
        <f t="shared" si="3"/>
        <v>6.6734999999999998</v>
      </c>
      <c r="K20" s="121"/>
      <c r="L20" s="124"/>
      <c r="M20" s="118"/>
    </row>
    <row r="21" spans="1:13" x14ac:dyDescent="0.2">
      <c r="A21" s="1" t="s">
        <v>20</v>
      </c>
      <c r="B21" s="1" t="s">
        <v>22</v>
      </c>
      <c r="C21" s="99" t="s">
        <v>21</v>
      </c>
      <c r="D21" s="100">
        <f>'8. RTSR Rates to Forecast 2030'!J21</f>
        <v>1.0736000000000001</v>
      </c>
      <c r="E21" s="112"/>
      <c r="F21" s="112">
        <f>'3. RRR Data 2031'!F25</f>
        <v>43607.077218812628</v>
      </c>
      <c r="G21" s="112">
        <f t="shared" si="1"/>
        <v>46816.56</v>
      </c>
      <c r="H21" s="113">
        <f t="shared" si="0"/>
        <v>7.2080773000544613E-4</v>
      </c>
      <c r="I21" s="112">
        <f t="shared" si="2"/>
        <v>49651.530716327281</v>
      </c>
      <c r="J21" s="100">
        <f t="shared" si="3"/>
        <v>1.1386000000000001</v>
      </c>
      <c r="K21" s="121"/>
      <c r="L21" s="124"/>
      <c r="M21" s="118"/>
    </row>
    <row r="22" spans="1:13" x14ac:dyDescent="0.2">
      <c r="A22" s="1" t="s">
        <v>24</v>
      </c>
      <c r="B22" s="1" t="s">
        <v>15</v>
      </c>
      <c r="C22" s="99" t="s">
        <v>21</v>
      </c>
      <c r="D22" s="100">
        <f>'8. RTSR Rates to Forecast 2030'!J22</f>
        <v>6.6689999999999996</v>
      </c>
      <c r="E22" s="112"/>
      <c r="F22" s="112">
        <f>'3. RRR Data 2031'!F27</f>
        <v>774616.48203383083</v>
      </c>
      <c r="G22" s="112">
        <f t="shared" si="1"/>
        <v>5165917.32</v>
      </c>
      <c r="H22" s="113">
        <f t="shared" si="0"/>
        <v>7.9536666872256703E-2</v>
      </c>
      <c r="I22" s="112">
        <f t="shared" si="2"/>
        <v>5478738.7730321735</v>
      </c>
      <c r="J22" s="100">
        <f t="shared" si="3"/>
        <v>7.0728</v>
      </c>
      <c r="K22" s="121"/>
      <c r="L22" s="124"/>
      <c r="M22" s="118"/>
    </row>
    <row r="23" spans="1:13" x14ac:dyDescent="0.2">
      <c r="A23" s="1" t="s">
        <v>24</v>
      </c>
      <c r="B23" s="1" t="s">
        <v>22</v>
      </c>
      <c r="C23" s="99" t="s">
        <v>21</v>
      </c>
      <c r="D23" s="100">
        <f>'8. RTSR Rates to Forecast 2030'!J23</f>
        <v>1.1337299999999999</v>
      </c>
      <c r="E23" s="112"/>
      <c r="F23" s="112"/>
      <c r="G23" s="112"/>
      <c r="H23" s="113">
        <f t="shared" si="0"/>
        <v>0</v>
      </c>
      <c r="I23" s="112">
        <f t="shared" si="2"/>
        <v>0</v>
      </c>
      <c r="J23" s="100">
        <f>J22*0.17</f>
        <v>1.2023760000000001</v>
      </c>
      <c r="K23" s="121"/>
      <c r="L23" s="124"/>
      <c r="M23" s="118"/>
    </row>
    <row r="24" spans="1:13" x14ac:dyDescent="0.2">
      <c r="A24" s="1" t="s">
        <v>27</v>
      </c>
      <c r="B24" s="1" t="s">
        <v>15</v>
      </c>
      <c r="C24" s="99" t="s">
        <v>21</v>
      </c>
      <c r="D24" s="100">
        <f>'8. RTSR Rates to Forecast 2030'!J24</f>
        <v>7.1066000000000003</v>
      </c>
      <c r="E24" s="112"/>
      <c r="F24" s="112">
        <f>'3. RRR Data 2031'!F31</f>
        <v>1121410.8585916488</v>
      </c>
      <c r="G24" s="112">
        <f t="shared" si="1"/>
        <v>7969418.4100000001</v>
      </c>
      <c r="H24" s="113">
        <f t="shared" si="0"/>
        <v>0.12270056564548339</v>
      </c>
      <c r="I24" s="112">
        <f t="shared" si="2"/>
        <v>8452005.5077814162</v>
      </c>
      <c r="J24" s="100">
        <f t="shared" si="3"/>
        <v>7.5369000000000002</v>
      </c>
      <c r="K24" s="121"/>
      <c r="L24" s="124"/>
      <c r="M24" s="118"/>
    </row>
    <row r="25" spans="1:13" x14ac:dyDescent="0.2">
      <c r="A25" s="1" t="s">
        <v>28</v>
      </c>
      <c r="B25" s="1" t="s">
        <v>15</v>
      </c>
      <c r="C25" s="99" t="s">
        <v>16</v>
      </c>
      <c r="D25" s="100">
        <f>'8. RTSR Rates to Forecast 2030'!J25</f>
        <v>1.37E-2</v>
      </c>
      <c r="E25" s="112">
        <f>'3. RRR Data 2031'!H33</f>
        <v>6629070.2221085792</v>
      </c>
      <c r="F25" s="112">
        <f>'3. RRR Data 2031'!F33</f>
        <v>0</v>
      </c>
      <c r="G25" s="112">
        <f t="shared" si="1"/>
        <v>90818.26</v>
      </c>
      <c r="H25" s="113">
        <f t="shared" si="0"/>
        <v>1.3982766746135215E-3</v>
      </c>
      <c r="I25" s="112">
        <f t="shared" si="2"/>
        <v>96317.747950584089</v>
      </c>
      <c r="J25" s="100">
        <f t="shared" si="3"/>
        <v>1.4500000000000001E-2</v>
      </c>
      <c r="K25" s="121"/>
      <c r="L25" s="124"/>
      <c r="M25" s="118"/>
    </row>
    <row r="26" spans="1:13" x14ac:dyDescent="0.2">
      <c r="A26" s="1" t="s">
        <v>29</v>
      </c>
      <c r="B26" s="1" t="s">
        <v>15</v>
      </c>
      <c r="C26" s="99" t="s">
        <v>21</v>
      </c>
      <c r="D26" s="100">
        <f>'8. RTSR Rates to Forecast 2030'!J26</f>
        <v>4.0782999999999996</v>
      </c>
      <c r="E26" s="112"/>
      <c r="F26" s="112">
        <f>'3. RRR Data 2031'!F35</f>
        <v>616.25346374616186</v>
      </c>
      <c r="G26" s="112">
        <f t="shared" si="1"/>
        <v>2513.27</v>
      </c>
      <c r="H26" s="113">
        <f t="shared" si="0"/>
        <v>3.8695377097138015E-5</v>
      </c>
      <c r="I26" s="112">
        <f t="shared" si="2"/>
        <v>2665.4607387519263</v>
      </c>
      <c r="J26" s="100">
        <f t="shared" si="3"/>
        <v>4.3253000000000004</v>
      </c>
      <c r="K26" s="121"/>
      <c r="L26" s="124"/>
      <c r="M26" s="118"/>
    </row>
    <row r="27" spans="1:13" x14ac:dyDescent="0.2">
      <c r="A27" s="1" t="s">
        <v>30</v>
      </c>
      <c r="B27" s="1" t="s">
        <v>15</v>
      </c>
      <c r="C27" s="99" t="s">
        <v>21</v>
      </c>
      <c r="D27" s="100">
        <f>'8. RTSR Rates to Forecast 2030'!J27</f>
        <v>4.2807000000000004</v>
      </c>
      <c r="E27" s="112"/>
      <c r="F27" s="112">
        <f>'3. RRR Data 2031'!F37</f>
        <v>45774.320408562664</v>
      </c>
      <c r="G27" s="112">
        <f t="shared" si="1"/>
        <v>195946.13</v>
      </c>
      <c r="H27" s="113">
        <f t="shared" si="0"/>
        <v>3.0168702093586555E-3</v>
      </c>
      <c r="I27" s="112">
        <f t="shared" si="2"/>
        <v>207811.62247803895</v>
      </c>
      <c r="J27" s="100">
        <f t="shared" si="3"/>
        <v>4.5399000000000003</v>
      </c>
      <c r="K27" s="121"/>
      <c r="L27" s="124"/>
      <c r="M27" s="118"/>
    </row>
    <row r="28" spans="1:13" x14ac:dyDescent="0.2">
      <c r="D28" s="100"/>
      <c r="E28" s="112"/>
      <c r="F28" s="112"/>
      <c r="G28" s="112">
        <f>SUM(G17:G27)</f>
        <v>64950135.869999997</v>
      </c>
      <c r="H28" s="113">
        <f t="shared" si="0"/>
        <v>1</v>
      </c>
      <c r="I28" s="112">
        <f>'7. Forecast Wholesale 2031'!F33+'7. Forecast Wholesale 2031'!F52</f>
        <v>68883182.920294344</v>
      </c>
      <c r="J28" s="100"/>
    </row>
    <row r="30" spans="1:13" ht="15.75" x14ac:dyDescent="0.25">
      <c r="A30" s="103" t="s">
        <v>78</v>
      </c>
    </row>
    <row r="31" spans="1:13" ht="47.25" x14ac:dyDescent="0.2">
      <c r="A31" s="104" t="s">
        <v>6</v>
      </c>
      <c r="B31" s="104" t="s">
        <v>7</v>
      </c>
      <c r="C31" s="105" t="s">
        <v>8</v>
      </c>
      <c r="D31" s="106" t="s">
        <v>79</v>
      </c>
      <c r="E31" s="107" t="s">
        <v>13</v>
      </c>
      <c r="F31" s="108" t="s">
        <v>73</v>
      </c>
      <c r="G31" s="109" t="s">
        <v>74</v>
      </c>
      <c r="H31" s="110" t="s">
        <v>75</v>
      </c>
      <c r="I31" s="108" t="s">
        <v>76</v>
      </c>
      <c r="J31" s="111" t="s">
        <v>80</v>
      </c>
    </row>
    <row r="33" spans="1:13" x14ac:dyDescent="0.2">
      <c r="A33" s="1" t="s">
        <v>14</v>
      </c>
      <c r="B33" s="1" t="s">
        <v>17</v>
      </c>
      <c r="C33" s="99" t="s">
        <v>16</v>
      </c>
      <c r="D33" s="100">
        <f>'8. RTSR Rates to Forecast 2030'!J33</f>
        <v>1.0800000000000001E-2</v>
      </c>
      <c r="E33" s="112">
        <f>'3. RRR Data 2031'!H18</f>
        <v>1678685766.0707581</v>
      </c>
      <c r="F33" s="112">
        <f>'3. RRR Data 2031'!F18</f>
        <v>0</v>
      </c>
      <c r="G33" s="112">
        <f>IF(D33*E33=0,ROUND(D33*F33,2),ROUND(D33*E33,2))</f>
        <v>18129806.27</v>
      </c>
      <c r="H33" s="113">
        <f>G33/$G$44</f>
        <v>0.40157643542122956</v>
      </c>
      <c r="I33" s="112">
        <f>H33*$I$44</f>
        <v>19214739.78546147</v>
      </c>
      <c r="J33" s="100">
        <f>IF(I33*E33=0,ROUND(I33/F33,4),ROUND(I33/E33,4))</f>
        <v>1.14E-2</v>
      </c>
      <c r="K33" s="121"/>
      <c r="L33" s="118"/>
      <c r="M33" s="118"/>
    </row>
    <row r="34" spans="1:13" x14ac:dyDescent="0.2">
      <c r="A34" s="1" t="s">
        <v>18</v>
      </c>
      <c r="B34" s="1" t="s">
        <v>17</v>
      </c>
      <c r="C34" s="99" t="s">
        <v>16</v>
      </c>
      <c r="D34" s="100">
        <f>'8. RTSR Rates to Forecast 2030'!J34</f>
        <v>1.3100000000000001E-2</v>
      </c>
      <c r="E34" s="112">
        <f>'3. RRR Data 2031'!H20</f>
        <v>15482267.455741264</v>
      </c>
      <c r="F34" s="112">
        <f>'3. RRR Data 2031'!F20</f>
        <v>0</v>
      </c>
      <c r="G34" s="112">
        <f t="shared" ref="G34:G43" si="4">IF(D34*E34=0,ROUND(D34*F34,2),ROUND(D34*E34,2))</f>
        <v>202817.7</v>
      </c>
      <c r="H34" s="113">
        <f t="shared" ref="H34:H43" si="5">G34/$G$44</f>
        <v>4.492425776281189E-3</v>
      </c>
      <c r="I34" s="112">
        <f t="shared" ref="I34:I43" si="6">H34*$I$44</f>
        <v>214954.82474263577</v>
      </c>
      <c r="J34" s="100">
        <f t="shared" ref="J34:J43" si="7">IF(I34*E34=0,ROUND(I34/F34,4),ROUND(I34/E34,4))</f>
        <v>1.3899999999999999E-2</v>
      </c>
      <c r="K34" s="121"/>
      <c r="L34" s="118"/>
      <c r="M34" s="118"/>
    </row>
    <row r="35" spans="1:13" x14ac:dyDescent="0.2">
      <c r="A35" s="1" t="s">
        <v>19</v>
      </c>
      <c r="B35" s="1" t="s">
        <v>17</v>
      </c>
      <c r="C35" s="99" t="s">
        <v>16</v>
      </c>
      <c r="D35" s="100">
        <f>'8. RTSR Rates to Forecast 2030'!J35</f>
        <v>1.0200000000000001E-2</v>
      </c>
      <c r="E35" s="112">
        <f>'3. RRR Data 2031'!H22</f>
        <v>371167930.69561154</v>
      </c>
      <c r="F35" s="112">
        <f>'3. RRR Data 2031'!F22</f>
        <v>0</v>
      </c>
      <c r="G35" s="112">
        <f t="shared" si="4"/>
        <v>3785912.89</v>
      </c>
      <c r="H35" s="113">
        <f t="shared" si="5"/>
        <v>8.385822664289759E-2</v>
      </c>
      <c r="I35" s="112">
        <f t="shared" si="6"/>
        <v>4012471.5040197959</v>
      </c>
      <c r="J35" s="100">
        <f t="shared" si="7"/>
        <v>1.0800000000000001E-2</v>
      </c>
      <c r="K35" s="121"/>
      <c r="L35" s="118"/>
      <c r="M35" s="118"/>
    </row>
    <row r="36" spans="1:13" x14ac:dyDescent="0.2">
      <c r="A36" s="1" t="s">
        <v>20</v>
      </c>
      <c r="B36" s="1" t="s">
        <v>17</v>
      </c>
      <c r="C36" s="99" t="s">
        <v>21</v>
      </c>
      <c r="D36" s="100">
        <f>'8. RTSR Rates to Forecast 2030'!J36</f>
        <v>4.4577</v>
      </c>
      <c r="E36" s="112"/>
      <c r="F36" s="112">
        <f>'3. RRR Data 2031'!F24</f>
        <v>3339968.745634567</v>
      </c>
      <c r="G36" s="112">
        <f t="shared" si="4"/>
        <v>14888578.68</v>
      </c>
      <c r="H36" s="113">
        <f t="shared" si="5"/>
        <v>0.32978302502307516</v>
      </c>
      <c r="I36" s="112">
        <f t="shared" si="6"/>
        <v>15779548.929044865</v>
      </c>
      <c r="J36" s="100">
        <f t="shared" si="7"/>
        <v>4.7244999999999999</v>
      </c>
      <c r="K36" s="121"/>
      <c r="L36" s="118"/>
      <c r="M36" s="118"/>
    </row>
    <row r="37" spans="1:13" x14ac:dyDescent="0.2">
      <c r="A37" s="1" t="s">
        <v>20</v>
      </c>
      <c r="B37" s="1" t="s">
        <v>23</v>
      </c>
      <c r="C37" s="99" t="s">
        <v>21</v>
      </c>
      <c r="D37" s="100">
        <f>'8. RTSR Rates to Forecast 2030'!J37</f>
        <v>0.7571</v>
      </c>
      <c r="E37" s="112"/>
      <c r="F37" s="112">
        <f>'3. RRR Data 2031'!F26</f>
        <v>43607.077218812628</v>
      </c>
      <c r="G37" s="112">
        <f t="shared" si="4"/>
        <v>33014.92</v>
      </c>
      <c r="H37" s="113">
        <f t="shared" si="5"/>
        <v>7.3128271156738952E-4</v>
      </c>
      <c r="I37" s="112">
        <f t="shared" si="6"/>
        <v>34990.616413124393</v>
      </c>
      <c r="J37" s="100">
        <f t="shared" si="7"/>
        <v>0.8024</v>
      </c>
      <c r="K37" s="121"/>
      <c r="L37" s="118"/>
      <c r="M37" s="118"/>
    </row>
    <row r="38" spans="1:13" x14ac:dyDescent="0.2">
      <c r="A38" s="1" t="s">
        <v>24</v>
      </c>
      <c r="B38" s="1" t="s">
        <v>25</v>
      </c>
      <c r="C38" s="99" t="s">
        <v>21</v>
      </c>
      <c r="D38" s="100">
        <f>'8. RTSR Rates to Forecast 2030'!J38</f>
        <v>3.1496</v>
      </c>
      <c r="E38" s="112"/>
      <c r="F38" s="112">
        <f>'3. RRR Data 2031'!F28</f>
        <v>774616.48203383083</v>
      </c>
      <c r="G38" s="112">
        <f t="shared" si="4"/>
        <v>2439732.0699999998</v>
      </c>
      <c r="H38" s="113">
        <f t="shared" si="5"/>
        <v>5.4040230406359309E-2</v>
      </c>
      <c r="I38" s="112">
        <f t="shared" si="6"/>
        <v>2585731.8149542073</v>
      </c>
      <c r="J38" s="100">
        <f t="shared" si="7"/>
        <v>3.3380999999999998</v>
      </c>
      <c r="K38" s="121"/>
      <c r="L38" s="118"/>
      <c r="M38" s="118"/>
    </row>
    <row r="39" spans="1:13" x14ac:dyDescent="0.2">
      <c r="A39" s="1" t="s">
        <v>24</v>
      </c>
      <c r="B39" s="1" t="s">
        <v>26</v>
      </c>
      <c r="C39" s="99" t="s">
        <v>21</v>
      </c>
      <c r="D39" s="100">
        <f>'8. RTSR Rates to Forecast 2030'!J39</f>
        <v>0.53543200000000002</v>
      </c>
      <c r="E39" s="112"/>
      <c r="F39" s="112"/>
      <c r="G39" s="112"/>
      <c r="H39" s="113">
        <f t="shared" si="5"/>
        <v>0</v>
      </c>
      <c r="I39" s="112">
        <f t="shared" si="6"/>
        <v>0</v>
      </c>
      <c r="J39" s="100">
        <f>J38*0.17</f>
        <v>0.56747700000000001</v>
      </c>
      <c r="K39" s="121"/>
      <c r="L39" s="118"/>
      <c r="M39" s="118"/>
    </row>
    <row r="40" spans="1:13" x14ac:dyDescent="0.2">
      <c r="A40" s="1" t="s">
        <v>27</v>
      </c>
      <c r="B40" s="1" t="s">
        <v>25</v>
      </c>
      <c r="C40" s="99" t="s">
        <v>21</v>
      </c>
      <c r="D40" s="100">
        <f>'8. RTSR Rates to Forecast 2030'!J40</f>
        <v>4.8662000000000001</v>
      </c>
      <c r="E40" s="112"/>
      <c r="F40" s="112">
        <f>'3. RRR Data 2031'!F32</f>
        <v>1121410.8585916488</v>
      </c>
      <c r="G40" s="112">
        <f t="shared" si="4"/>
        <v>5457009.5199999996</v>
      </c>
      <c r="H40" s="113">
        <f>G40/$G$44</f>
        <v>0.12087313005255378</v>
      </c>
      <c r="I40" s="112">
        <f t="shared" si="6"/>
        <v>5783570.7879070453</v>
      </c>
      <c r="J40" s="100">
        <f t="shared" si="7"/>
        <v>5.1574</v>
      </c>
      <c r="K40" s="121"/>
      <c r="L40" s="118"/>
      <c r="M40" s="118"/>
    </row>
    <row r="41" spans="1:13" x14ac:dyDescent="0.2">
      <c r="A41" s="1" t="s">
        <v>28</v>
      </c>
      <c r="B41" s="1" t="s">
        <v>17</v>
      </c>
      <c r="C41" s="99" t="s">
        <v>16</v>
      </c>
      <c r="D41" s="100">
        <f>'8. RTSR Rates to Forecast 2030'!J41</f>
        <v>1.03E-2</v>
      </c>
      <c r="E41" s="112">
        <f>'3. RRR Data 2031'!H34</f>
        <v>6629070.2221085792</v>
      </c>
      <c r="F41" s="112">
        <f>'3. RRR Data 2031'!F34</f>
        <v>0</v>
      </c>
      <c r="G41" s="112">
        <f t="shared" si="4"/>
        <v>68279.42</v>
      </c>
      <c r="H41" s="113">
        <f t="shared" si="5"/>
        <v>1.5123937723262285E-3</v>
      </c>
      <c r="I41" s="112">
        <f t="shared" si="6"/>
        <v>72365.433389831451</v>
      </c>
      <c r="J41" s="100">
        <f t="shared" si="7"/>
        <v>1.09E-2</v>
      </c>
      <c r="K41" s="121"/>
      <c r="L41" s="118"/>
      <c r="M41" s="118"/>
    </row>
    <row r="42" spans="1:13" x14ac:dyDescent="0.2">
      <c r="A42" s="1" t="s">
        <v>29</v>
      </c>
      <c r="B42" s="1" t="s">
        <v>17</v>
      </c>
      <c r="C42" s="99" t="s">
        <v>21</v>
      </c>
      <c r="D42" s="100">
        <f>'8. RTSR Rates to Forecast 2030'!J42</f>
        <v>2.8885000000000001</v>
      </c>
      <c r="E42" s="112"/>
      <c r="F42" s="112">
        <f>'3. RRR Data 2031'!F36</f>
        <v>616.25346374616186</v>
      </c>
      <c r="G42" s="112">
        <f t="shared" si="4"/>
        <v>1780.05</v>
      </c>
      <c r="H42" s="113">
        <f t="shared" si="5"/>
        <v>3.9428227926208265E-5</v>
      </c>
      <c r="I42" s="112">
        <f t="shared" si="6"/>
        <v>1886.5726994395891</v>
      </c>
      <c r="J42" s="100">
        <f t="shared" si="7"/>
        <v>3.0613999999999999</v>
      </c>
      <c r="K42" s="121"/>
      <c r="L42" s="118"/>
      <c r="M42" s="118"/>
    </row>
    <row r="43" spans="1:13" x14ac:dyDescent="0.2">
      <c r="A43" s="1" t="s">
        <v>30</v>
      </c>
      <c r="B43" s="1" t="s">
        <v>17</v>
      </c>
      <c r="C43" s="99" t="s">
        <v>21</v>
      </c>
      <c r="D43" s="100">
        <f>'8. RTSR Rates to Forecast 2030'!J43</f>
        <v>3.0510000000000002</v>
      </c>
      <c r="E43" s="112"/>
      <c r="F43" s="112">
        <f>'3. RRR Data 2031'!F38</f>
        <v>45774.320408562664</v>
      </c>
      <c r="G43" s="112">
        <f t="shared" si="4"/>
        <v>139657.45000000001</v>
      </c>
      <c r="H43" s="113">
        <f t="shared" si="5"/>
        <v>3.0934219657835649E-3</v>
      </c>
      <c r="I43" s="112">
        <f t="shared" si="6"/>
        <v>148014.90544835789</v>
      </c>
      <c r="J43" s="100">
        <f t="shared" si="7"/>
        <v>3.2336</v>
      </c>
      <c r="K43" s="121"/>
      <c r="L43" s="118"/>
      <c r="M43" s="118"/>
    </row>
    <row r="44" spans="1:13" x14ac:dyDescent="0.2">
      <c r="D44" s="100"/>
      <c r="E44" s="112"/>
      <c r="F44" s="112"/>
      <c r="G44" s="112">
        <f>SUM(G33:G43)</f>
        <v>45146588.969999999</v>
      </c>
      <c r="H44" s="113"/>
      <c r="I44" s="112">
        <f>'7. Forecast Wholesale 2031'!P33+'7. Forecast Wholesale 2031'!P52</f>
        <v>47848275.174080774</v>
      </c>
      <c r="J44" s="100"/>
    </row>
    <row r="46" spans="1:13" x14ac:dyDescent="0.2">
      <c r="D46" s="100"/>
      <c r="E46" s="112"/>
      <c r="F46" s="112"/>
      <c r="G46" s="112"/>
      <c r="H46" s="113"/>
      <c r="I46" s="112"/>
      <c r="J46" s="114"/>
    </row>
    <row r="47" spans="1:13" x14ac:dyDescent="0.2">
      <c r="D47" s="100"/>
      <c r="E47" s="112"/>
      <c r="F47" s="112"/>
      <c r="G47" s="112"/>
      <c r="H47" s="113"/>
      <c r="I47" s="112"/>
      <c r="J47" s="114"/>
    </row>
    <row r="48" spans="1:13" x14ac:dyDescent="0.2">
      <c r="D48" s="100"/>
      <c r="E48" s="112"/>
      <c r="F48" s="112"/>
      <c r="G48" s="112"/>
      <c r="H48" s="113"/>
      <c r="I48" s="112"/>
      <c r="J48" s="114"/>
    </row>
    <row r="49" spans="4:10" x14ac:dyDescent="0.2">
      <c r="D49" s="100"/>
      <c r="E49" s="112"/>
      <c r="F49" s="112"/>
      <c r="G49" s="112"/>
      <c r="H49" s="113"/>
      <c r="I49" s="112"/>
      <c r="J49" s="114"/>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2FD9F-2E61-488D-A3A9-F5981961391C}">
  <dimension ref="B4:K49"/>
  <sheetViews>
    <sheetView topLeftCell="B1" workbookViewId="0">
      <selection activeCell="F38" sqref="F38"/>
    </sheetView>
  </sheetViews>
  <sheetFormatPr defaultColWidth="8.85546875" defaultRowHeight="15" x14ac:dyDescent="0.25"/>
  <cols>
    <col min="1" max="1" width="8.85546875" style="116"/>
    <col min="2" max="2" width="55.28515625" style="116" customWidth="1"/>
    <col min="3" max="3" width="81.42578125" style="116" bestFit="1" customWidth="1"/>
    <col min="4" max="5" width="10" style="116" customWidth="1"/>
    <col min="6" max="9" width="14.140625" style="116" bestFit="1" customWidth="1"/>
    <col min="10" max="10" width="12.85546875" style="116" customWidth="1"/>
    <col min="11" max="16384" width="8.85546875" style="116"/>
  </cols>
  <sheetData>
    <row r="4" spans="2:11" x14ac:dyDescent="0.25">
      <c r="B4" s="117" t="s">
        <v>0</v>
      </c>
      <c r="D4" s="125" t="s">
        <v>184</v>
      </c>
      <c r="E4" s="125" t="s">
        <v>185</v>
      </c>
      <c r="F4" s="117"/>
      <c r="G4" s="117"/>
      <c r="H4" s="117"/>
      <c r="I4" s="117"/>
      <c r="J4" s="117"/>
      <c r="K4" s="117"/>
    </row>
    <row r="5" spans="2:11" x14ac:dyDescent="0.25">
      <c r="D5" s="117">
        <v>2026</v>
      </c>
      <c r="E5" s="117">
        <v>2026</v>
      </c>
      <c r="F5" s="117">
        <v>2027</v>
      </c>
      <c r="G5" s="117">
        <f>F5+1</f>
        <v>2028</v>
      </c>
      <c r="H5" s="117">
        <f t="shared" ref="H5:J5" si="0">G5+1</f>
        <v>2029</v>
      </c>
      <c r="I5" s="117">
        <f t="shared" si="0"/>
        <v>2030</v>
      </c>
      <c r="J5" s="117">
        <f t="shared" si="0"/>
        <v>2031</v>
      </c>
      <c r="K5" s="117"/>
    </row>
    <row r="6" spans="2:11" x14ac:dyDescent="0.25">
      <c r="B6" s="116" t="str">
        <f>'8. RTSR Rates to Forecast 2031'!A17</f>
        <v>Residential Service Classification</v>
      </c>
      <c r="C6" s="116" t="str">
        <f>'8. RTSR Rates to Forecast 2031'!B17</f>
        <v>Retail Transmission Rate - Network Service Rate</v>
      </c>
      <c r="D6" s="186">
        <f>'8. RTSR Rates to Forecast 2027'!D29</f>
        <v>1.3100000000000001E-2</v>
      </c>
      <c r="E6" s="186">
        <f>'8. RTSR Rates to Forecast 2027'!D17</f>
        <v>1.17E-2</v>
      </c>
      <c r="F6" s="186">
        <f>'8. RTSR Rates to Forecast 2027'!J17</f>
        <v>1.2200000000000001E-2</v>
      </c>
      <c r="G6" s="186">
        <f>'8. RTSR Rates to Forecast 2028'!J17</f>
        <v>1.32E-2</v>
      </c>
      <c r="H6" s="186">
        <f>'8. RTSR Rates to Forecast 2029'!J17</f>
        <v>1.4E-2</v>
      </c>
      <c r="I6" s="186">
        <f>'8. RTSR Rates to Forecast 2030'!J17</f>
        <v>1.4999999999999999E-2</v>
      </c>
      <c r="J6" s="186">
        <f>'8. RTSR Rates to Forecast 2031'!J17</f>
        <v>1.5900000000000001E-2</v>
      </c>
    </row>
    <row r="7" spans="2:11" x14ac:dyDescent="0.25">
      <c r="B7" s="116" t="str">
        <f>'8. RTSR Rates to Forecast 2031'!A18</f>
        <v>Seasonal Residential Service Classification</v>
      </c>
      <c r="C7" s="116" t="str">
        <f>'8. RTSR Rates to Forecast 2031'!B18</f>
        <v>Retail Transmission Rate - Network Service Rate</v>
      </c>
      <c r="D7" s="186"/>
      <c r="E7" s="186">
        <f>'8. RTSR Rates to Forecast 2027'!D18</f>
        <v>1.2200000000000001E-2</v>
      </c>
      <c r="F7" s="186">
        <f>'8. RTSR Rates to Forecast 2027'!J18</f>
        <v>1.23E-2</v>
      </c>
      <c r="G7" s="186">
        <f>'8. RTSR Rates to Forecast 2028'!J18</f>
        <v>1.3299999999999999E-2</v>
      </c>
      <c r="H7" s="186">
        <f>'8. RTSR Rates to Forecast 2029'!J18</f>
        <v>1.41E-2</v>
      </c>
      <c r="I7" s="186">
        <f>'8. RTSR Rates to Forecast 2030'!J18</f>
        <v>1.5100000000000001E-2</v>
      </c>
      <c r="J7" s="186">
        <f>'8. RTSR Rates to Forecast 2031'!J18</f>
        <v>1.6E-2</v>
      </c>
    </row>
    <row r="8" spans="2:11" x14ac:dyDescent="0.25">
      <c r="B8" s="116" t="str">
        <f>'8. RTSR Rates to Forecast 2031'!A19</f>
        <v>General Service Less Than 50 kW Service Classification</v>
      </c>
      <c r="C8" s="116" t="str">
        <f>'8. RTSR Rates to Forecast 2031'!B19</f>
        <v>Retail Transmission Rate - Network Service Rate</v>
      </c>
      <c r="D8" s="186">
        <f>'8. RTSR Rates to Forecast 2027'!D30</f>
        <v>1.2E-2</v>
      </c>
      <c r="E8" s="186">
        <f>'8. RTSR Rates to Forecast 2027'!D19</f>
        <v>1.0699999999999999E-2</v>
      </c>
      <c r="F8" s="186">
        <f>'8. RTSR Rates to Forecast 2027'!J19</f>
        <v>1.11E-2</v>
      </c>
      <c r="G8" s="186">
        <f>'8. RTSR Rates to Forecast 2028'!J19</f>
        <v>1.2E-2</v>
      </c>
      <c r="H8" s="186">
        <f>'8. RTSR Rates to Forecast 2029'!J19</f>
        <v>1.2699999999999999E-2</v>
      </c>
      <c r="I8" s="186">
        <f>'8. RTSR Rates to Forecast 2030'!J19</f>
        <v>1.3599999999999999E-2</v>
      </c>
      <c r="J8" s="186">
        <f>'8. RTSR Rates to Forecast 2031'!J19</f>
        <v>1.44E-2</v>
      </c>
    </row>
    <row r="9" spans="2:11" x14ac:dyDescent="0.25">
      <c r="B9" s="116" t="str">
        <f>'8. RTSR Rates to Forecast 2031'!A20</f>
        <v>General Service 50 To 2,999 kW Service Classification</v>
      </c>
      <c r="C9" s="116" t="str">
        <f>'8. RTSR Rates to Forecast 2031'!B20</f>
        <v>Retail Transmission Rate - Network Service Rate</v>
      </c>
      <c r="D9" s="186">
        <f>'8. RTSR Rates to Forecast 2027'!D31</f>
        <v>4.7407000000000004</v>
      </c>
      <c r="E9" s="186">
        <f>'8. RTSR Rates to Forecast 2027'!D20</f>
        <v>5.2130999999999998</v>
      </c>
      <c r="F9" s="186">
        <f>'8. RTSR Rates to Forecast 2027'!J20</f>
        <v>5.1322999999999999</v>
      </c>
      <c r="G9" s="186">
        <f>'8. RTSR Rates to Forecast 2028'!J20</f>
        <v>5.5425000000000004</v>
      </c>
      <c r="H9" s="186">
        <f>'8. RTSR Rates to Forecast 2029'!J20</f>
        <v>5.8823999999999996</v>
      </c>
      <c r="I9" s="186">
        <f>'8. RTSR Rates to Forecast 2030'!J20</f>
        <v>6.2925000000000004</v>
      </c>
      <c r="J9" s="186">
        <f>'8. RTSR Rates to Forecast 2031'!J20</f>
        <v>6.6734999999999998</v>
      </c>
    </row>
    <row r="10" spans="2:11" x14ac:dyDescent="0.25">
      <c r="B10" s="116" t="str">
        <f>'8. RTSR Rates to Forecast 2031'!A21</f>
        <v>General Service 50 To 2,999 kW Service Classification</v>
      </c>
      <c r="C10" s="116" t="str">
        <f>'8. RTSR Rates to Forecast 2031'!B21</f>
        <v>Retail Transmission Rate - Network Service Rate - EV CHARGING</v>
      </c>
      <c r="D10" s="186">
        <f>'8. RTSR Rates to Forecast 2027'!D32</f>
        <v>0.80589999999999995</v>
      </c>
      <c r="E10" s="186">
        <f>'8. RTSR Rates to Forecast 2027'!D21</f>
        <v>0.88622699999999999</v>
      </c>
      <c r="F10" s="186">
        <f>'8. RTSR Rates to Forecast 2027'!J21</f>
        <v>0.87560000000000004</v>
      </c>
      <c r="G10" s="186">
        <f>'8. RTSR Rates to Forecast 2028'!J21</f>
        <v>0.9456</v>
      </c>
      <c r="H10" s="186">
        <f>'8. RTSR Rates to Forecast 2029'!J21</f>
        <v>1.0036</v>
      </c>
      <c r="I10" s="186">
        <f>'8. RTSR Rates to Forecast 2030'!J21</f>
        <v>1.0736000000000001</v>
      </c>
      <c r="J10" s="186">
        <f>'8. RTSR Rates to Forecast 2031'!J21</f>
        <v>1.1386000000000001</v>
      </c>
    </row>
    <row r="11" spans="2:11" x14ac:dyDescent="0.25">
      <c r="B11" s="116" t="str">
        <f>'8. RTSR Rates to Forecast 2031'!A22</f>
        <v>General Service 3,000 To 4,999 kW Service Classification</v>
      </c>
      <c r="C11" s="116" t="str">
        <f>'8. RTSR Rates to Forecast 2031'!B22</f>
        <v>Retail Transmission Rate - Network Service Rate</v>
      </c>
      <c r="D11" s="186">
        <f>'8. RTSR Rates to Forecast 2027'!D33</f>
        <v>4.7407000000000004</v>
      </c>
      <c r="E11" s="186">
        <f>'8. RTSR Rates to Forecast 2027'!D22</f>
        <v>5.7435</v>
      </c>
      <c r="F11" s="186">
        <f>'8. RTSR Rates to Forecast 2027'!J22</f>
        <v>5.4393000000000002</v>
      </c>
      <c r="G11" s="186">
        <f>'8. RTSR Rates to Forecast 2028'!J22</f>
        <v>5.8741000000000003</v>
      </c>
      <c r="H11" s="186">
        <f>'8. RTSR Rates to Forecast 2029'!J22</f>
        <v>6.2343999999999999</v>
      </c>
      <c r="I11" s="186">
        <f>'8. RTSR Rates to Forecast 2030'!J22</f>
        <v>6.6689999999999996</v>
      </c>
      <c r="J11" s="186">
        <f>'8. RTSR Rates to Forecast 2031'!J22</f>
        <v>7.0728</v>
      </c>
    </row>
    <row r="12" spans="2:11" x14ac:dyDescent="0.25">
      <c r="B12" s="116" t="str">
        <f>'8. RTSR Rates to Forecast 2031'!A23</f>
        <v>General Service 3,000 To 4,999 kW Service Classification</v>
      </c>
      <c r="C12" s="116" t="str">
        <f>'8. RTSR Rates to Forecast 2031'!B23</f>
        <v>Retail Transmission Rate - Network Service Rate - EV CHARGING</v>
      </c>
      <c r="D12" s="186">
        <f>'8. RTSR Rates to Forecast 2027'!D34</f>
        <v>0.80589999999999995</v>
      </c>
      <c r="E12" s="186">
        <f>'8. RTSR Rates to Forecast 2027'!D23</f>
        <v>0.97639500000000012</v>
      </c>
      <c r="F12" s="186">
        <f>F11*0.17</f>
        <v>0.92468100000000009</v>
      </c>
      <c r="G12" s="186">
        <f t="shared" ref="G12:J12" si="1">G11*0.17</f>
        <v>0.99859700000000018</v>
      </c>
      <c r="H12" s="186">
        <f t="shared" si="1"/>
        <v>1.0598480000000001</v>
      </c>
      <c r="I12" s="186">
        <f t="shared" si="1"/>
        <v>1.1337299999999999</v>
      </c>
      <c r="J12" s="186">
        <f t="shared" si="1"/>
        <v>1.2023760000000001</v>
      </c>
    </row>
    <row r="13" spans="2:11" x14ac:dyDescent="0.25">
      <c r="B13" s="116" t="str">
        <f>'8. RTSR Rates to Forecast 2031'!A24</f>
        <v>Large Use Service Classification</v>
      </c>
      <c r="C13" s="116" t="str">
        <f>'8. RTSR Rates to Forecast 2031'!B24</f>
        <v>Retail Transmission Rate - Network Service Rate</v>
      </c>
      <c r="D13" s="186"/>
      <c r="E13" s="186">
        <f>'8. RTSR Rates to Forecast 2027'!D24</f>
        <v>5.7435</v>
      </c>
      <c r="F13" s="186">
        <f>'8. RTSR Rates to Forecast 2027'!J24</f>
        <v>5.7962999999999996</v>
      </c>
      <c r="G13" s="186">
        <f>'8. RTSR Rates to Forecast 2028'!J24</f>
        <v>6.2595999999999998</v>
      </c>
      <c r="H13" s="186">
        <f>'8. RTSR Rates to Forecast 2029'!J24</f>
        <v>6.6435000000000004</v>
      </c>
      <c r="I13" s="186">
        <f>'8. RTSR Rates to Forecast 2030'!J24</f>
        <v>7.1066000000000003</v>
      </c>
      <c r="J13" s="186">
        <f>'8. RTSR Rates to Forecast 2031'!J24</f>
        <v>7.5369000000000002</v>
      </c>
    </row>
    <row r="14" spans="2:11" x14ac:dyDescent="0.25">
      <c r="B14" s="116" t="str">
        <f>'8. RTSR Rates to Forecast 2031'!A25</f>
        <v>Unmetered Scattered Load Service Classification</v>
      </c>
      <c r="C14" s="116" t="str">
        <f>'8. RTSR Rates to Forecast 2031'!B25</f>
        <v>Retail Transmission Rate - Network Service Rate</v>
      </c>
      <c r="D14" s="186">
        <f>'8. RTSR Rates to Forecast 2027'!D35</f>
        <v>1.2E-2</v>
      </c>
      <c r="E14" s="186">
        <f>'8. RTSR Rates to Forecast 2027'!D25</f>
        <v>1.0699999999999999E-2</v>
      </c>
      <c r="F14" s="186">
        <f>'8. RTSR Rates to Forecast 2027'!J25</f>
        <v>1.12E-2</v>
      </c>
      <c r="G14" s="186">
        <f>'8. RTSR Rates to Forecast 2028'!J25</f>
        <v>1.21E-2</v>
      </c>
      <c r="H14" s="186">
        <f>'8. RTSR Rates to Forecast 2029'!J25</f>
        <v>1.2800000000000001E-2</v>
      </c>
      <c r="I14" s="186">
        <f>'8. RTSR Rates to Forecast 2030'!J25</f>
        <v>1.37E-2</v>
      </c>
      <c r="J14" s="186">
        <f>'8. RTSR Rates to Forecast 2031'!J25</f>
        <v>1.4500000000000001E-2</v>
      </c>
    </row>
    <row r="15" spans="2:11" x14ac:dyDescent="0.25">
      <c r="B15" s="116" t="str">
        <f>'8. RTSR Rates to Forecast 2031'!A26</f>
        <v>Sentinel Lighting Service Classification</v>
      </c>
      <c r="C15" s="116" t="str">
        <f>'8. RTSR Rates to Forecast 2031'!B26</f>
        <v>Retail Transmission Rate - Network Service Rate</v>
      </c>
      <c r="D15" s="186">
        <f>'8. RTSR Rates to Forecast 2027'!D36</f>
        <v>3.5928</v>
      </c>
      <c r="E15" s="186">
        <f>'8. RTSR Rates to Forecast 2027'!D26</f>
        <v>3.2515999999999998</v>
      </c>
      <c r="F15" s="186">
        <f>'8. RTSR Rates to Forecast 2027'!J26</f>
        <v>3.3262999999999998</v>
      </c>
      <c r="G15" s="186">
        <f>'8. RTSR Rates to Forecast 2028'!J26</f>
        <v>3.5922000000000001</v>
      </c>
      <c r="H15" s="186">
        <f>'8. RTSR Rates to Forecast 2029'!J26</f>
        <v>3.8125</v>
      </c>
      <c r="I15" s="186">
        <f>'8. RTSR Rates to Forecast 2030'!J26</f>
        <v>4.0782999999999996</v>
      </c>
      <c r="J15" s="186">
        <f>'8. RTSR Rates to Forecast 2031'!J26</f>
        <v>4.3253000000000004</v>
      </c>
    </row>
    <row r="16" spans="2:11" x14ac:dyDescent="0.25">
      <c r="B16" s="116" t="str">
        <f>'8. RTSR Rates to Forecast 2031'!A27</f>
        <v>Street Lighting Service Classification</v>
      </c>
      <c r="C16" s="116" t="str">
        <f>'8. RTSR Rates to Forecast 2031'!B27</f>
        <v>Retail Transmission Rate - Network Service Rate</v>
      </c>
      <c r="D16" s="186">
        <f>'8. RTSR Rates to Forecast 2027'!D37</f>
        <v>3.5754999999999999</v>
      </c>
      <c r="E16" s="186">
        <f>'8. RTSR Rates to Forecast 2027'!D27</f>
        <v>3.4237000000000002</v>
      </c>
      <c r="F16" s="186">
        <f>'8. RTSR Rates to Forecast 2027'!J27</f>
        <v>3.4914000000000001</v>
      </c>
      <c r="G16" s="186">
        <f>'8. RTSR Rates to Forecast 2028'!J27</f>
        <v>3.7705000000000002</v>
      </c>
      <c r="H16" s="186">
        <f>'8. RTSR Rates to Forecast 2029'!J27</f>
        <v>4.0016999999999996</v>
      </c>
      <c r="I16" s="186">
        <f>'8. RTSR Rates to Forecast 2030'!J27</f>
        <v>4.2807000000000004</v>
      </c>
      <c r="J16" s="186">
        <f>'8. RTSR Rates to Forecast 2031'!J27</f>
        <v>4.5399000000000003</v>
      </c>
    </row>
    <row r="17" spans="2:11" x14ac:dyDescent="0.25">
      <c r="F17" s="185">
        <f>'8. RTSR Rates to Forecast 2027'!I38</f>
        <v>47743563.813940674</v>
      </c>
      <c r="G17" s="185">
        <f>'8. RTSR Rates to Forecast 2028'!I28</f>
        <v>53320881.206945986</v>
      </c>
      <c r="H17" s="185">
        <f>'8. RTSR Rates to Forecast 2029'!I28</f>
        <v>58528338.221426152</v>
      </c>
      <c r="I17" s="185">
        <f>'8. RTSR Rates to Forecast 2030'!I28</f>
        <v>63896860.855197206</v>
      </c>
      <c r="J17" s="185">
        <f>'8. RTSR Rates to Forecast 2031'!I28</f>
        <v>68883182.920294344</v>
      </c>
    </row>
    <row r="19" spans="2:11" x14ac:dyDescent="0.25">
      <c r="B19" s="117" t="s">
        <v>88</v>
      </c>
      <c r="D19" s="125" t="s">
        <v>184</v>
      </c>
      <c r="E19" s="125" t="s">
        <v>185</v>
      </c>
    </row>
    <row r="20" spans="2:11" x14ac:dyDescent="0.25">
      <c r="D20" s="117">
        <v>2026</v>
      </c>
      <c r="E20" s="117">
        <v>2026</v>
      </c>
      <c r="F20" s="117">
        <v>2027</v>
      </c>
      <c r="G20" s="117">
        <f>F20+1</f>
        <v>2028</v>
      </c>
      <c r="H20" s="117">
        <f t="shared" ref="H20" si="2">G20+1</f>
        <v>2029</v>
      </c>
      <c r="I20" s="117">
        <f t="shared" ref="I20" si="3">H20+1</f>
        <v>2030</v>
      </c>
      <c r="J20" s="117">
        <f t="shared" ref="J20" si="4">I20+1</f>
        <v>2031</v>
      </c>
    </row>
    <row r="21" spans="2:11" x14ac:dyDescent="0.25">
      <c r="B21" s="116" t="str">
        <f>'8. RTSR Rates to Forecast 2031'!A33</f>
        <v>Residential Service Classification</v>
      </c>
      <c r="C21" s="116" t="str">
        <f>'8. RTSR Rates to Forecast 2031'!B33</f>
        <v>Retail Transmission Rate - Line and Transformation Connection Service Rate</v>
      </c>
      <c r="D21" s="186">
        <f>'8. RTSR Rates to Forecast 2027'!D55</f>
        <v>9.9000000000000008E-3</v>
      </c>
      <c r="E21" s="186">
        <f>'8. RTSR Rates to Forecast 2027'!D43</f>
        <v>8.0000000000000002E-3</v>
      </c>
      <c r="F21" s="186">
        <f>'8. RTSR Rates to Forecast 2027'!J43</f>
        <v>8.8000000000000005E-3</v>
      </c>
      <c r="G21" s="186">
        <f>'8. RTSR Rates to Forecast 2028'!J33</f>
        <v>9.4999999999999998E-3</v>
      </c>
      <c r="H21" s="186">
        <f>'8. RTSR Rates to Forecast 2029'!J33</f>
        <v>1.01E-2</v>
      </c>
      <c r="I21" s="186">
        <f>'8. RTSR Rates to Forecast 2030'!J33</f>
        <v>1.0800000000000001E-2</v>
      </c>
      <c r="J21" s="186">
        <f>'8. RTSR Rates to Forecast 2031'!J33</f>
        <v>1.14E-2</v>
      </c>
    </row>
    <row r="22" spans="2:11" x14ac:dyDescent="0.25">
      <c r="B22" s="116" t="str">
        <f>'8. RTSR Rates to Forecast 2031'!A34</f>
        <v>Seasonal Residential Service Classification</v>
      </c>
      <c r="C22" s="116" t="str">
        <f>'8. RTSR Rates to Forecast 2031'!B34</f>
        <v>Retail Transmission Rate - Line and Transformation Connection Service Rate</v>
      </c>
      <c r="D22" s="186"/>
      <c r="E22" s="186">
        <f>'8. RTSR Rates to Forecast 2027'!D44</f>
        <v>1.03E-2</v>
      </c>
      <c r="F22" s="186">
        <f>'8. RTSR Rates to Forecast 2027'!J44</f>
        <v>1.0699999999999999E-2</v>
      </c>
      <c r="G22" s="186">
        <f>'8. RTSR Rates to Forecast 2028'!J34</f>
        <v>1.1599999999999999E-2</v>
      </c>
      <c r="H22" s="186">
        <f>'8. RTSR Rates to Forecast 2029'!J34</f>
        <v>1.23E-2</v>
      </c>
      <c r="I22" s="186">
        <f>'8. RTSR Rates to Forecast 2030'!J34</f>
        <v>1.3100000000000001E-2</v>
      </c>
      <c r="J22" s="186">
        <f>'8. RTSR Rates to Forecast 2031'!J34</f>
        <v>1.3899999999999999E-2</v>
      </c>
    </row>
    <row r="23" spans="2:11" x14ac:dyDescent="0.25">
      <c r="B23" s="116" t="str">
        <f>'8. RTSR Rates to Forecast 2031'!A35</f>
        <v>General Service Less Than 50 kW Service Classification</v>
      </c>
      <c r="C23" s="116" t="str">
        <f>'8. RTSR Rates to Forecast 2031'!B35</f>
        <v>Retail Transmission Rate - Line and Transformation Connection Service Rate</v>
      </c>
      <c r="D23" s="186">
        <f>'8. RTSR Rates to Forecast 2027'!D56</f>
        <v>9.4000000000000004E-3</v>
      </c>
      <c r="E23" s="186">
        <f>'8. RTSR Rates to Forecast 2027'!D45</f>
        <v>7.4999999999999997E-3</v>
      </c>
      <c r="F23" s="186">
        <f>'8. RTSR Rates to Forecast 2027'!J45</f>
        <v>8.2000000000000007E-3</v>
      </c>
      <c r="G23" s="186">
        <f>'8. RTSR Rates to Forecast 2028'!J35</f>
        <v>8.8999999999999999E-3</v>
      </c>
      <c r="H23" s="186">
        <f>'8. RTSR Rates to Forecast 2029'!J35</f>
        <v>9.4999999999999998E-3</v>
      </c>
      <c r="I23" s="186">
        <f>'8. RTSR Rates to Forecast 2030'!J35</f>
        <v>1.0200000000000001E-2</v>
      </c>
      <c r="J23" s="186">
        <f>'8. RTSR Rates to Forecast 2031'!J35</f>
        <v>1.0800000000000001E-2</v>
      </c>
    </row>
    <row r="24" spans="2:11" x14ac:dyDescent="0.25">
      <c r="B24" s="116" t="str">
        <f>'8. RTSR Rates to Forecast 2031'!A36</f>
        <v>General Service 50 To 2,999 kW Service Classification</v>
      </c>
      <c r="C24" s="116" t="str">
        <f>'8. RTSR Rates to Forecast 2031'!B36</f>
        <v>Retail Transmission Rate - Line and Transformation Connection Service Rate</v>
      </c>
      <c r="D24" s="186">
        <f>'8. RTSR Rates to Forecast 2027'!D57</f>
        <v>3.5516999999999999</v>
      </c>
      <c r="E24" s="186">
        <f>'8. RTSR Rates to Forecast 2027'!D46</f>
        <v>3.4744999999999999</v>
      </c>
      <c r="F24" s="186">
        <f>'8. RTSR Rates to Forecast 2027'!J46</f>
        <v>3.6204000000000001</v>
      </c>
      <c r="G24" s="186">
        <f>'8. RTSR Rates to Forecast 2028'!J36</f>
        <v>3.9216000000000002</v>
      </c>
      <c r="H24" s="186">
        <f>'8. RTSR Rates to Forecast 2029'!J36</f>
        <v>4.1719999999999997</v>
      </c>
      <c r="I24" s="186">
        <f>'8. RTSR Rates to Forecast 2030'!J36</f>
        <v>4.4577</v>
      </c>
      <c r="J24" s="186">
        <f>'8. RTSR Rates to Forecast 2031'!J36</f>
        <v>4.7244999999999999</v>
      </c>
    </row>
    <row r="25" spans="2:11" x14ac:dyDescent="0.25">
      <c r="B25" s="116" t="str">
        <f>'8. RTSR Rates to Forecast 2031'!A37</f>
        <v>General Service 50 To 2,999 kW Service Classification</v>
      </c>
      <c r="C25" s="116" t="str">
        <f>'8. RTSR Rates to Forecast 2031'!B37</f>
        <v>Retail Transmission Rate - Line and Transformation Connection Service Rate - EV CHARGING</v>
      </c>
      <c r="D25" s="186">
        <f>'8. RTSR Rates to Forecast 2027'!D58</f>
        <v>0.6038</v>
      </c>
      <c r="E25" s="186">
        <f>'8. RTSR Rates to Forecast 2027'!D47</f>
        <v>0.590665</v>
      </c>
      <c r="F25" s="186">
        <f>'8. RTSR Rates to Forecast 2027'!J47</f>
        <v>0.6149</v>
      </c>
      <c r="G25" s="186">
        <f>'8. RTSR Rates to Forecast 2028'!J37</f>
        <v>0.66610000000000003</v>
      </c>
      <c r="H25" s="186">
        <f>'8. RTSR Rates to Forecast 2029'!J37</f>
        <v>0.70860000000000001</v>
      </c>
      <c r="I25" s="186">
        <f>'8. RTSR Rates to Forecast 2030'!J37</f>
        <v>0.7571</v>
      </c>
      <c r="J25" s="186">
        <f>'8. RTSR Rates to Forecast 2031'!J37</f>
        <v>0.8024</v>
      </c>
    </row>
    <row r="26" spans="2:11" x14ac:dyDescent="0.25">
      <c r="B26" s="116" t="str">
        <f>'8. RTSR Rates to Forecast 2031'!A38</f>
        <v>General Service 3,000 To 4,999 kW Service Classification</v>
      </c>
      <c r="C26" s="116" t="str">
        <f>'8. RTSR Rates to Forecast 2031'!B38</f>
        <v xml:space="preserve">Retail Transmission Rate - Line and Transformation Connection Service Rate </v>
      </c>
      <c r="D26" s="186">
        <f>'8. RTSR Rates to Forecast 2027'!D59</f>
        <v>0</v>
      </c>
      <c r="E26" s="186">
        <f>'8. RTSR Rates to Forecast 2027'!D48</f>
        <v>3.8157999999999999</v>
      </c>
      <c r="F26" s="186">
        <f>'8. RTSR Rates to Forecast 2027'!J48</f>
        <v>2.5581</v>
      </c>
      <c r="G26" s="186">
        <f>'8. RTSR Rates to Forecast 2028'!J38</f>
        <v>2.7709000000000001</v>
      </c>
      <c r="H26" s="186">
        <f>'8. RTSR Rates to Forecast 2029'!J38</f>
        <v>2.9478</v>
      </c>
      <c r="I26" s="186">
        <f>'8. RTSR Rates to Forecast 2030'!J38</f>
        <v>3.1496</v>
      </c>
      <c r="J26" s="186">
        <f>'8. RTSR Rates to Forecast 2031'!J38</f>
        <v>3.3380999999999998</v>
      </c>
    </row>
    <row r="27" spans="2:11" x14ac:dyDescent="0.25">
      <c r="B27" s="116" t="str">
        <f>'8. RTSR Rates to Forecast 2031'!A39</f>
        <v>General Service 3,000 To 4,999 kW Service Classification</v>
      </c>
      <c r="C27" s="116" t="str">
        <f>'8. RTSR Rates to Forecast 2031'!B39</f>
        <v>Retail Transmission Rate - Line and Transformation Connection Service Rate  - EV CHARGING</v>
      </c>
      <c r="D27" s="186">
        <f>'8. RTSR Rates to Forecast 2027'!D60</f>
        <v>0</v>
      </c>
      <c r="E27" s="186">
        <f>'8. RTSR Rates to Forecast 2027'!D49</f>
        <v>0.64868599999999998</v>
      </c>
      <c r="F27" s="186">
        <f>F26*0.17</f>
        <v>0.43487700000000001</v>
      </c>
      <c r="G27" s="186">
        <f t="shared" ref="G27" si="5">G26*0.17</f>
        <v>0.47105300000000006</v>
      </c>
      <c r="H27" s="186">
        <f t="shared" ref="H27" si="6">H26*0.17</f>
        <v>0.50112600000000007</v>
      </c>
      <c r="I27" s="186">
        <f t="shared" ref="I27" si="7">I26*0.17</f>
        <v>0.53543200000000002</v>
      </c>
      <c r="J27" s="186">
        <f t="shared" ref="J27" si="8">J26*0.17</f>
        <v>0.56747700000000001</v>
      </c>
    </row>
    <row r="28" spans="2:11" x14ac:dyDescent="0.25">
      <c r="B28" s="116" t="str">
        <f>'8. RTSR Rates to Forecast 2031'!A40</f>
        <v>Large Use Service Classification</v>
      </c>
      <c r="C28" s="116" t="str">
        <f>'8. RTSR Rates to Forecast 2031'!B40</f>
        <v xml:space="preserve">Retail Transmission Rate - Line and Transformation Connection Service Rate </v>
      </c>
      <c r="D28" s="186"/>
      <c r="E28" s="186">
        <f>'8. RTSR Rates to Forecast 2027'!D50</f>
        <v>3.8157999999999999</v>
      </c>
      <c r="F28" s="186">
        <f>'8. RTSR Rates to Forecast 2027'!J50</f>
        <v>3.9523000000000001</v>
      </c>
      <c r="G28" s="186">
        <f>'8. RTSR Rates to Forecast 2028'!J40</f>
        <v>4.2811000000000003</v>
      </c>
      <c r="H28" s="186">
        <f>'8. RTSR Rates to Forecast 2029'!J40</f>
        <v>4.5544000000000002</v>
      </c>
      <c r="I28" s="186">
        <f>'8. RTSR Rates to Forecast 2030'!J40</f>
        <v>4.8662000000000001</v>
      </c>
      <c r="J28" s="186">
        <f>'8. RTSR Rates to Forecast 2031'!J40</f>
        <v>5.1574</v>
      </c>
    </row>
    <row r="29" spans="2:11" x14ac:dyDescent="0.25">
      <c r="B29" s="116" t="str">
        <f>'8. RTSR Rates to Forecast 2031'!A41</f>
        <v>Unmetered Scattered Load Service Classification</v>
      </c>
      <c r="C29" s="116" t="str">
        <f>'8. RTSR Rates to Forecast 2031'!B41</f>
        <v>Retail Transmission Rate - Line and Transformation Connection Service Rate</v>
      </c>
      <c r="D29" s="186">
        <f>'8. RTSR Rates to Forecast 2027'!D61</f>
        <v>9.4000000000000004E-3</v>
      </c>
      <c r="E29" s="186">
        <f>'8. RTSR Rates to Forecast 2027'!D51</f>
        <v>7.4999999999999997E-3</v>
      </c>
      <c r="F29" s="186">
        <f>'8. RTSR Rates to Forecast 2027'!J51</f>
        <v>8.3000000000000001E-3</v>
      </c>
      <c r="G29" s="186">
        <f>'8. RTSR Rates to Forecast 2028'!J41</f>
        <v>8.9999999999999993E-3</v>
      </c>
      <c r="H29" s="186">
        <f>'8. RTSR Rates to Forecast 2029'!J41</f>
        <v>9.5999999999999992E-3</v>
      </c>
      <c r="I29" s="186">
        <f>'8. RTSR Rates to Forecast 2030'!J41</f>
        <v>1.03E-2</v>
      </c>
      <c r="J29" s="186">
        <f>'8. RTSR Rates to Forecast 2031'!J41</f>
        <v>1.09E-2</v>
      </c>
    </row>
    <row r="30" spans="2:11" x14ac:dyDescent="0.25">
      <c r="B30" s="116" t="str">
        <f>'8. RTSR Rates to Forecast 2031'!A42</f>
        <v>Sentinel Lighting Service Classification</v>
      </c>
      <c r="C30" s="116" t="str">
        <f>'8. RTSR Rates to Forecast 2031'!B42</f>
        <v>Retail Transmission Rate - Line and Transformation Connection Service Rate</v>
      </c>
      <c r="D30" s="186">
        <f>'8. RTSR Rates to Forecast 2027'!D62</f>
        <v>2.8033000000000001</v>
      </c>
      <c r="E30" s="186">
        <f>'8. RTSR Rates to Forecast 2027'!D52</f>
        <v>2.1844000000000001</v>
      </c>
      <c r="F30" s="186">
        <f>'8. RTSR Rates to Forecast 2027'!J52</f>
        <v>2.3460000000000001</v>
      </c>
      <c r="G30" s="186">
        <f>'8. RTSR Rates to Forecast 2028'!J42</f>
        <v>2.5411999999999999</v>
      </c>
      <c r="H30" s="186">
        <f>'8. RTSR Rates to Forecast 2029'!J42</f>
        <v>2.7033999999999998</v>
      </c>
      <c r="I30" s="186">
        <f>'8. RTSR Rates to Forecast 2030'!J42</f>
        <v>2.8885000000000001</v>
      </c>
      <c r="J30" s="186">
        <f>'8. RTSR Rates to Forecast 2031'!J42</f>
        <v>3.0613999999999999</v>
      </c>
    </row>
    <row r="31" spans="2:11" x14ac:dyDescent="0.25">
      <c r="B31" s="116" t="str">
        <f>'8. RTSR Rates to Forecast 2031'!A43</f>
        <v>Street Lighting Service Classification</v>
      </c>
      <c r="C31" s="116" t="str">
        <f>'8. RTSR Rates to Forecast 2031'!B43</f>
        <v>Retail Transmission Rate - Line and Transformation Connection Service Rate</v>
      </c>
      <c r="D31" s="186">
        <f>'8. RTSR Rates to Forecast 2027'!D63</f>
        <v>2.7458999999999998</v>
      </c>
      <c r="E31" s="186">
        <f>'8. RTSR Rates to Forecast 2027'!D53</f>
        <v>2.2826</v>
      </c>
      <c r="F31" s="186">
        <f>'8. RTSR Rates to Forecast 2027'!J53</f>
        <v>2.4779</v>
      </c>
      <c r="G31" s="186">
        <f>'8. RTSR Rates to Forecast 2028'!J43</f>
        <v>2.6840999999999999</v>
      </c>
      <c r="H31" s="186">
        <f>'8. RTSR Rates to Forecast 2029'!J43</f>
        <v>2.8555000000000001</v>
      </c>
      <c r="I31" s="186">
        <f>'8. RTSR Rates to Forecast 2030'!J43</f>
        <v>3.0510000000000002</v>
      </c>
      <c r="J31" s="186">
        <f>'8. RTSR Rates to Forecast 2031'!J43</f>
        <v>3.2336</v>
      </c>
    </row>
    <row r="32" spans="2:11" x14ac:dyDescent="0.25">
      <c r="F32" s="185">
        <f>'8. RTSR Rates to Forecast 2027'!I64</f>
        <v>33343097.527242336</v>
      </c>
      <c r="G32" s="185">
        <f>'8. RTSR Rates to Forecast 2028'!I44</f>
        <v>37188093.985845104</v>
      </c>
      <c r="H32" s="185">
        <f>'8. RTSR Rates to Forecast 2029'!I44</f>
        <v>40765078.976366602</v>
      </c>
      <c r="I32" s="185">
        <f>'8. RTSR Rates to Forecast 2030'!I44</f>
        <v>44444406.385687962</v>
      </c>
      <c r="J32" s="185">
        <f>'8. RTSR Rates to Forecast 2031'!I44</f>
        <v>47848275.174080774</v>
      </c>
      <c r="K32" s="184"/>
    </row>
    <row r="34" spans="7:10" x14ac:dyDescent="0.25">
      <c r="G34" s="214"/>
      <c r="H34" s="214"/>
      <c r="I34" s="214"/>
      <c r="J34" s="214"/>
    </row>
    <row r="35" spans="7:10" x14ac:dyDescent="0.25">
      <c r="G35" s="214"/>
      <c r="H35" s="214"/>
      <c r="I35" s="214"/>
      <c r="J35" s="214"/>
    </row>
    <row r="36" spans="7:10" x14ac:dyDescent="0.25">
      <c r="G36" s="214"/>
      <c r="H36" s="214"/>
      <c r="I36" s="214"/>
      <c r="J36" s="214"/>
    </row>
    <row r="37" spans="7:10" x14ac:dyDescent="0.25">
      <c r="G37" s="214"/>
      <c r="H37" s="214"/>
      <c r="I37" s="214"/>
      <c r="J37" s="214"/>
    </row>
    <row r="38" spans="7:10" x14ac:dyDescent="0.25">
      <c r="G38" s="214"/>
      <c r="H38" s="214"/>
      <c r="I38" s="214"/>
      <c r="J38" s="214"/>
    </row>
    <row r="39" spans="7:10" x14ac:dyDescent="0.25">
      <c r="G39" s="214"/>
      <c r="H39" s="214"/>
      <c r="I39" s="214"/>
      <c r="J39" s="214"/>
    </row>
    <row r="40" spans="7:10" x14ac:dyDescent="0.25">
      <c r="G40" s="214"/>
      <c r="H40" s="214"/>
      <c r="I40" s="214"/>
      <c r="J40" s="214"/>
    </row>
    <row r="41" spans="7:10" x14ac:dyDescent="0.25">
      <c r="G41" s="214"/>
      <c r="H41" s="214"/>
      <c r="I41" s="214"/>
      <c r="J41" s="214"/>
    </row>
    <row r="42" spans="7:10" x14ac:dyDescent="0.25">
      <c r="G42" s="214"/>
      <c r="H42" s="214"/>
      <c r="I42" s="214"/>
      <c r="J42" s="214"/>
    </row>
    <row r="43" spans="7:10" x14ac:dyDescent="0.25">
      <c r="G43" s="214"/>
      <c r="H43" s="214"/>
      <c r="I43" s="214"/>
      <c r="J43" s="214"/>
    </row>
    <row r="44" spans="7:10" x14ac:dyDescent="0.25">
      <c r="G44" s="214"/>
      <c r="H44" s="214"/>
      <c r="I44" s="214"/>
      <c r="J44" s="214"/>
    </row>
    <row r="45" spans="7:10" x14ac:dyDescent="0.25">
      <c r="G45" s="214"/>
      <c r="H45" s="214"/>
      <c r="I45" s="214"/>
      <c r="J45" s="214"/>
    </row>
    <row r="46" spans="7:10" x14ac:dyDescent="0.25">
      <c r="G46" s="214"/>
      <c r="H46" s="214"/>
      <c r="I46" s="214"/>
      <c r="J46" s="214"/>
    </row>
    <row r="47" spans="7:10" x14ac:dyDescent="0.25">
      <c r="G47" s="214"/>
      <c r="H47" s="214"/>
      <c r="I47" s="214"/>
      <c r="J47" s="214"/>
    </row>
    <row r="48" spans="7:10" x14ac:dyDescent="0.25">
      <c r="G48" s="214"/>
      <c r="H48" s="214"/>
      <c r="I48" s="214"/>
      <c r="J48" s="214"/>
    </row>
    <row r="49" spans="7:10" x14ac:dyDescent="0.25">
      <c r="G49" s="214"/>
      <c r="H49" s="214"/>
      <c r="I49" s="214"/>
      <c r="J49" s="21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4C0FA-34B0-4B88-AEE9-5D94352B20CA}">
  <dimension ref="B5:L62"/>
  <sheetViews>
    <sheetView workbookViewId="0">
      <selection activeCell="E19" sqref="E19"/>
    </sheetView>
  </sheetViews>
  <sheetFormatPr defaultColWidth="8.85546875" defaultRowHeight="15" x14ac:dyDescent="0.25"/>
  <cols>
    <col min="1" max="1" width="8.85546875" style="116"/>
    <col min="2" max="2" width="25.28515625" style="116" bestFit="1" customWidth="1"/>
    <col min="3" max="3" width="25.28515625" style="116" customWidth="1"/>
    <col min="4" max="4" width="15.28515625" style="116" customWidth="1"/>
    <col min="5" max="5" width="15.140625" style="116" customWidth="1"/>
    <col min="6" max="6" width="15.7109375" style="116" customWidth="1"/>
    <col min="7" max="7" width="13.85546875" style="116" customWidth="1"/>
    <col min="8" max="8" width="16.7109375" style="116" customWidth="1"/>
    <col min="9" max="10" width="12.28515625" style="116" bestFit="1" customWidth="1"/>
    <col min="11" max="11" width="11.85546875" style="116" bestFit="1" customWidth="1"/>
    <col min="12" max="16384" width="8.85546875" style="116"/>
  </cols>
  <sheetData>
    <row r="5" spans="2:10" x14ac:dyDescent="0.25">
      <c r="D5" s="246" t="s">
        <v>188</v>
      </c>
      <c r="E5" s="246"/>
      <c r="F5" s="246"/>
      <c r="G5" s="246" t="s">
        <v>192</v>
      </c>
      <c r="H5" s="246"/>
      <c r="I5" s="246"/>
      <c r="J5" s="192" t="s">
        <v>186</v>
      </c>
    </row>
    <row r="6" spans="2:10" ht="30" x14ac:dyDescent="0.25">
      <c r="D6" s="193" t="s">
        <v>204</v>
      </c>
      <c r="E6" s="193" t="s">
        <v>205</v>
      </c>
      <c r="F6" s="193" t="s">
        <v>74</v>
      </c>
      <c r="G6" s="193" t="s">
        <v>204</v>
      </c>
      <c r="H6" s="193" t="s">
        <v>205</v>
      </c>
      <c r="I6" s="193" t="s">
        <v>74</v>
      </c>
      <c r="J6" s="193" t="s">
        <v>193</v>
      </c>
    </row>
    <row r="7" spans="2:10" x14ac:dyDescent="0.25">
      <c r="B7" s="137" t="s">
        <v>194</v>
      </c>
      <c r="C7" s="137" t="s">
        <v>203</v>
      </c>
      <c r="D7" s="194">
        <v>1.4E-3</v>
      </c>
      <c r="E7" s="195">
        <f>'3. RRR Data 2027'!E17</f>
        <v>1076024602.7270098</v>
      </c>
      <c r="F7" s="196">
        <f t="shared" ref="F7:F15" si="0">D7*E7</f>
        <v>1506434.4438178136</v>
      </c>
      <c r="G7" s="194">
        <v>1.1000000000000001E-3</v>
      </c>
      <c r="H7" s="195">
        <f>'3. RRR Data 2027'!E40</f>
        <v>420144437.02356291</v>
      </c>
      <c r="I7" s="196">
        <f>G7*H7</f>
        <v>462158.88072591921</v>
      </c>
      <c r="J7" s="197">
        <f>I7+F7</f>
        <v>1968593.3245437329</v>
      </c>
    </row>
    <row r="8" spans="2:10" x14ac:dyDescent="0.25">
      <c r="B8" s="137" t="s">
        <v>202</v>
      </c>
      <c r="C8" s="137" t="s">
        <v>203</v>
      </c>
      <c r="D8" s="194">
        <v>1.9E-3</v>
      </c>
      <c r="E8" s="195">
        <f>'3. RRR Data 2027'!E19</f>
        <v>13136538.197903417</v>
      </c>
      <c r="F8" s="196">
        <f t="shared" si="0"/>
        <v>24959.422576016492</v>
      </c>
      <c r="G8" s="194"/>
      <c r="H8" s="195"/>
      <c r="I8" s="196">
        <f>G8*H8</f>
        <v>0</v>
      </c>
      <c r="J8" s="197">
        <f>I8+F8</f>
        <v>24959.422576016492</v>
      </c>
    </row>
    <row r="9" spans="2:10" x14ac:dyDescent="0.25">
      <c r="B9" s="137" t="s">
        <v>195</v>
      </c>
      <c r="C9" s="137" t="s">
        <v>203</v>
      </c>
      <c r="D9" s="194">
        <v>1.4E-3</v>
      </c>
      <c r="E9" s="195">
        <f>'3. RRR Data 2027'!E21</f>
        <v>268523602.53119963</v>
      </c>
      <c r="F9" s="196">
        <f t="shared" si="0"/>
        <v>375933.04354367947</v>
      </c>
      <c r="G9" s="194">
        <v>1.1000000000000001E-3</v>
      </c>
      <c r="H9" s="195">
        <f>'3. RRR Data 2027'!E42</f>
        <v>86253887.390901923</v>
      </c>
      <c r="I9" s="196">
        <f t="shared" ref="I9:I15" si="1">G9*H9</f>
        <v>94879.276129992126</v>
      </c>
      <c r="J9" s="197">
        <f t="shared" ref="J9:J15" si="2">I9+F9</f>
        <v>470812.31967367162</v>
      </c>
    </row>
    <row r="10" spans="2:10" x14ac:dyDescent="0.25">
      <c r="B10" s="137" t="s">
        <v>196</v>
      </c>
      <c r="C10" s="137" t="s">
        <v>203</v>
      </c>
      <c r="D10" s="194">
        <v>0.59770000000000001</v>
      </c>
      <c r="E10" s="195">
        <f>'3. RRR Data 2027'!F23+'3. RRR Data 2027'!F25</f>
        <v>2378016.3535174388</v>
      </c>
      <c r="F10" s="196">
        <f t="shared" si="0"/>
        <v>1421340.3744973731</v>
      </c>
      <c r="G10" s="194">
        <v>0.3886</v>
      </c>
      <c r="H10" s="195">
        <f>'3. RRR Data 2027'!F44+'3. RRR Data 2027'!F46</f>
        <v>878248.48180673015</v>
      </c>
      <c r="I10" s="196">
        <f t="shared" si="1"/>
        <v>341287.36003009533</v>
      </c>
      <c r="J10" s="197">
        <f t="shared" si="2"/>
        <v>1762627.7345274684</v>
      </c>
    </row>
    <row r="11" spans="2:10" x14ac:dyDescent="0.25">
      <c r="B11" s="137" t="s">
        <v>197</v>
      </c>
      <c r="C11" s="137" t="s">
        <v>203</v>
      </c>
      <c r="D11" s="194">
        <v>0.65639999999999998</v>
      </c>
      <c r="E11" s="195">
        <f>'3. RRR Data 2027'!F27+'3. RRR Data 2027'!F29</f>
        <v>391116.45656887733</v>
      </c>
      <c r="F11" s="196">
        <f t="shared" si="0"/>
        <v>256728.84209181106</v>
      </c>
      <c r="G11" s="194">
        <f>G10</f>
        <v>0.3886</v>
      </c>
      <c r="H11" s="195">
        <f>'3. RRR Data 2027'!F48+'3. RRR Data 2027'!F50</f>
        <v>213176.98722894766</v>
      </c>
      <c r="I11" s="196">
        <f t="shared" si="1"/>
        <v>82840.577237169069</v>
      </c>
      <c r="J11" s="197">
        <f t="shared" si="2"/>
        <v>339569.41932898015</v>
      </c>
    </row>
    <row r="12" spans="2:10" x14ac:dyDescent="0.25">
      <c r="B12" s="137" t="s">
        <v>198</v>
      </c>
      <c r="C12" s="137" t="s">
        <v>203</v>
      </c>
      <c r="D12" s="194">
        <v>0.65839999999999999</v>
      </c>
      <c r="E12" s="195">
        <f>'3. RRR Data 2027'!F31</f>
        <v>742951.90772589517</v>
      </c>
      <c r="F12" s="196">
        <f t="shared" si="0"/>
        <v>489159.53604672936</v>
      </c>
      <c r="G12" s="194"/>
      <c r="H12" s="195"/>
      <c r="I12" s="196">
        <f t="shared" si="1"/>
        <v>0</v>
      </c>
      <c r="J12" s="197">
        <f t="shared" si="2"/>
        <v>489159.53604672936</v>
      </c>
    </row>
    <row r="13" spans="2:10" x14ac:dyDescent="0.25">
      <c r="B13" s="137" t="s">
        <v>201</v>
      </c>
      <c r="C13" s="137" t="s">
        <v>203</v>
      </c>
      <c r="D13" s="194">
        <v>1.4E-3</v>
      </c>
      <c r="E13" s="195">
        <f>'3. RRR Data 2027'!E33</f>
        <v>4588884.6673883721</v>
      </c>
      <c r="F13" s="196">
        <f t="shared" si="0"/>
        <v>6424.4385343437207</v>
      </c>
      <c r="G13" s="194">
        <v>1.1000000000000001E-3</v>
      </c>
      <c r="H13" s="195">
        <f>'3. RRR Data 2027'!E52</f>
        <v>1890889.2596984764</v>
      </c>
      <c r="I13" s="196">
        <f>G13*H13</f>
        <v>2079.9781856683244</v>
      </c>
      <c r="J13" s="197">
        <f>I13+F13</f>
        <v>8504.4167200120446</v>
      </c>
    </row>
    <row r="14" spans="2:10" x14ac:dyDescent="0.25">
      <c r="B14" s="137" t="s">
        <v>200</v>
      </c>
      <c r="C14" s="137" t="s">
        <v>203</v>
      </c>
      <c r="D14" s="194">
        <v>0.37569999999999998</v>
      </c>
      <c r="E14" s="195">
        <f>'3. RRR Data 2027'!F35</f>
        <v>569.18081677203395</v>
      </c>
      <c r="F14" s="196">
        <f t="shared" si="0"/>
        <v>213.84123286125313</v>
      </c>
      <c r="G14" s="194">
        <v>0.30669999999999997</v>
      </c>
      <c r="H14" s="195">
        <f>'3. RRR Data 2027'!F54</f>
        <v>85.218072750022259</v>
      </c>
      <c r="I14" s="196">
        <f>G14*H14</f>
        <v>26.136382912431824</v>
      </c>
      <c r="J14" s="197">
        <f>I14+F14</f>
        <v>239.97761577368496</v>
      </c>
    </row>
    <row r="15" spans="2:10" x14ac:dyDescent="0.25">
      <c r="B15" s="137" t="s">
        <v>199</v>
      </c>
      <c r="C15" s="137" t="s">
        <v>203</v>
      </c>
      <c r="D15" s="194">
        <v>0.3926</v>
      </c>
      <c r="E15" s="195">
        <f>'3. RRR Data 2027'!F37</f>
        <v>33229.794206584047</v>
      </c>
      <c r="F15" s="196">
        <f t="shared" si="0"/>
        <v>13046.017205504897</v>
      </c>
      <c r="G15" s="194">
        <v>0.3004</v>
      </c>
      <c r="H15" s="195">
        <f>'3. RRR Data 2027'!F56</f>
        <v>10314.47561207424</v>
      </c>
      <c r="I15" s="196">
        <f t="shared" si="1"/>
        <v>3098.4684738671017</v>
      </c>
      <c r="J15" s="197">
        <f t="shared" si="2"/>
        <v>16144.485679371999</v>
      </c>
    </row>
    <row r="16" spans="2:10" x14ac:dyDescent="0.25">
      <c r="B16" s="198" t="s">
        <v>3</v>
      </c>
      <c r="C16" s="198"/>
      <c r="D16" s="198"/>
      <c r="E16" s="198"/>
      <c r="F16" s="199">
        <f>SUM(F7:F15)</f>
        <v>4094239.9595461329</v>
      </c>
      <c r="G16" s="198"/>
      <c r="H16" s="198"/>
      <c r="I16" s="199">
        <f>SUM(I7:I15)</f>
        <v>986370.67716562352</v>
      </c>
      <c r="J16" s="199">
        <f>SUM(J7:J15)</f>
        <v>5080610.6367117576</v>
      </c>
    </row>
    <row r="17" spans="2:12" x14ac:dyDescent="0.25">
      <c r="E17" s="200"/>
    </row>
    <row r="18" spans="2:12" ht="43.9" customHeight="1" x14ac:dyDescent="0.25">
      <c r="D18" s="193" t="s">
        <v>208</v>
      </c>
      <c r="E18" s="193" t="s">
        <v>207</v>
      </c>
      <c r="F18" s="193" t="str">
        <f>H6</f>
        <v>2027 Billed kWh/kW</v>
      </c>
      <c r="G18" s="193" t="s">
        <v>206</v>
      </c>
      <c r="H18" s="193" t="s">
        <v>210</v>
      </c>
    </row>
    <row r="19" spans="2:12" x14ac:dyDescent="0.25">
      <c r="B19" s="137" t="str">
        <f t="shared" ref="B19:C28" si="3">B7</f>
        <v>Residential</v>
      </c>
      <c r="C19" s="137" t="str">
        <f t="shared" si="3"/>
        <v>Low Voltage Charge</v>
      </c>
      <c r="D19" s="201">
        <f>'8. RTSR Rates to Forecast 2027'!K43</f>
        <v>0.41307545147625635</v>
      </c>
      <c r="E19" s="189">
        <f t="shared" ref="E19:E27" si="4">$E$28*D19</f>
        <v>2194615.7193207368</v>
      </c>
      <c r="F19" s="202">
        <f t="shared" ref="F19:F27" si="5">E7+H7</f>
        <v>1496169039.7505727</v>
      </c>
      <c r="G19" s="191">
        <f t="shared" ref="G19:G27" si="6">E19/F19</f>
        <v>1.4668233742402548E-3</v>
      </c>
      <c r="H19" s="207" t="s">
        <v>209</v>
      </c>
      <c r="K19" s="203"/>
      <c r="L19" s="203"/>
    </row>
    <row r="20" spans="2:12" x14ac:dyDescent="0.25">
      <c r="B20" s="137" t="str">
        <f t="shared" si="3"/>
        <v>Seasonal Residential</v>
      </c>
      <c r="C20" s="137" t="str">
        <f t="shared" si="3"/>
        <v>Low Voltage Charge</v>
      </c>
      <c r="D20" s="201">
        <f>'8. RTSR Rates to Forecast 2027'!K44</f>
        <v>4.3776131078008471E-3</v>
      </c>
      <c r="E20" s="189">
        <f t="shared" si="4"/>
        <v>23257.6845347501</v>
      </c>
      <c r="F20" s="202">
        <f t="shared" si="5"/>
        <v>13136538.197903417</v>
      </c>
      <c r="G20" s="191">
        <f t="shared" si="6"/>
        <v>1.7704576490678505E-3</v>
      </c>
      <c r="H20" s="207" t="s">
        <v>209</v>
      </c>
      <c r="K20" s="203"/>
      <c r="L20" s="203"/>
    </row>
    <row r="21" spans="2:12" x14ac:dyDescent="0.25">
      <c r="B21" s="137" t="str">
        <f t="shared" si="3"/>
        <v>GS &lt;50</v>
      </c>
      <c r="C21" s="137" t="str">
        <f t="shared" si="3"/>
        <v>Low Voltage Charge</v>
      </c>
      <c r="D21" s="201">
        <f>'8. RTSR Rates to Forecast 2027'!K45</f>
        <v>9.1388936319926811E-2</v>
      </c>
      <c r="E21" s="189">
        <f t="shared" si="4"/>
        <v>485537.43753819179</v>
      </c>
      <c r="F21" s="202">
        <f t="shared" si="5"/>
        <v>354777489.92210156</v>
      </c>
      <c r="G21" s="191">
        <f t="shared" si="6"/>
        <v>1.3685688955204041E-3</v>
      </c>
      <c r="H21" s="207" t="s">
        <v>209</v>
      </c>
      <c r="K21" s="203"/>
      <c r="L21" s="203"/>
    </row>
    <row r="22" spans="2:12" x14ac:dyDescent="0.25">
      <c r="B22" s="137" t="str">
        <f t="shared" si="3"/>
        <v>GS 50 - 2,999 kW</v>
      </c>
      <c r="C22" s="137" t="str">
        <f t="shared" si="3"/>
        <v>Low Voltage Charge</v>
      </c>
      <c r="D22" s="201">
        <f>'8. RTSR Rates to Forecast 2027'!K46+'8. RTSR Rates to Forecast 2027'!K47</f>
        <v>0.35176089435974323</v>
      </c>
      <c r="E22" s="189">
        <f t="shared" si="4"/>
        <v>1868859.5157259959</v>
      </c>
      <c r="F22" s="202">
        <f t="shared" si="5"/>
        <v>3256264.8353241691</v>
      </c>
      <c r="G22" s="191">
        <f t="shared" si="6"/>
        <v>0.5739273708491055</v>
      </c>
      <c r="H22" s="207" t="s">
        <v>37</v>
      </c>
      <c r="K22" s="203"/>
      <c r="L22" s="203"/>
    </row>
    <row r="23" spans="2:12" x14ac:dyDescent="0.25">
      <c r="B23" s="137" t="str">
        <f t="shared" si="3"/>
        <v>GS 3,000 - 4,999 kW</v>
      </c>
      <c r="C23" s="137" t="str">
        <f t="shared" si="3"/>
        <v>Low Voltage Charge</v>
      </c>
      <c r="D23" s="201">
        <f>'8. RTSR Rates to Forecast 2027'!K48+'8. RTSR Rates to Forecast 2027'!K49</f>
        <v>4.6360875183077625E-2</v>
      </c>
      <c r="E23" s="189">
        <f t="shared" si="4"/>
        <v>246309.25191664914</v>
      </c>
      <c r="F23" s="202">
        <f t="shared" si="5"/>
        <v>604293.44379782502</v>
      </c>
      <c r="G23" s="191">
        <f t="shared" si="6"/>
        <v>0.40759874932393841</v>
      </c>
      <c r="H23" s="207" t="s">
        <v>37</v>
      </c>
      <c r="K23" s="203"/>
      <c r="L23" s="203"/>
    </row>
    <row r="24" spans="2:12" x14ac:dyDescent="0.25">
      <c r="B24" s="137" t="str">
        <f t="shared" si="3"/>
        <v>Large Use &gt;5MW</v>
      </c>
      <c r="C24" s="137" t="str">
        <f t="shared" si="3"/>
        <v>Low Voltage Charge</v>
      </c>
      <c r="D24" s="201">
        <f>'8. RTSR Rates to Forecast 2027'!K50</f>
        <v>8.8065588147769713E-2</v>
      </c>
      <c r="E24" s="189">
        <f t="shared" si="4"/>
        <v>467880.92439192213</v>
      </c>
      <c r="F24" s="202">
        <f t="shared" si="5"/>
        <v>742951.90772589517</v>
      </c>
      <c r="G24" s="191">
        <f t="shared" si="6"/>
        <v>0.62975936871077021</v>
      </c>
      <c r="H24" s="207" t="s">
        <v>37</v>
      </c>
      <c r="K24" s="203"/>
      <c r="L24" s="203"/>
    </row>
    <row r="25" spans="2:12" x14ac:dyDescent="0.25">
      <c r="B25" s="137" t="str">
        <f t="shared" si="3"/>
        <v>Unmetered Scattered Load</v>
      </c>
      <c r="C25" s="137" t="str">
        <f t="shared" si="3"/>
        <v>Low Voltage Charge</v>
      </c>
      <c r="D25" s="201">
        <f>'8. RTSR Rates to Forecast 2027'!K51</f>
        <v>1.6885533022177872E-3</v>
      </c>
      <c r="E25" s="189">
        <f t="shared" si="4"/>
        <v>8971.0623246056057</v>
      </c>
      <c r="F25" s="202">
        <f t="shared" si="5"/>
        <v>6479773.9270868488</v>
      </c>
      <c r="G25" s="191">
        <f t="shared" si="6"/>
        <v>1.3844714993997917E-3</v>
      </c>
      <c r="H25" s="207" t="s">
        <v>209</v>
      </c>
      <c r="J25" s="213"/>
      <c r="K25" s="203"/>
      <c r="L25" s="203"/>
    </row>
    <row r="26" spans="2:12" x14ac:dyDescent="0.25">
      <c r="B26" s="137" t="str">
        <f t="shared" si="3"/>
        <v>Sentinel</v>
      </c>
      <c r="C26" s="137" t="str">
        <f t="shared" si="3"/>
        <v>Low Voltage Charge</v>
      </c>
      <c r="D26" s="201">
        <f>'8. RTSR Rates to Forecast 2027'!K52</f>
        <v>4.6043642466869465E-5</v>
      </c>
      <c r="E26" s="189">
        <f t="shared" si="4"/>
        <v>244.62383608478322</v>
      </c>
      <c r="F26" s="202">
        <f t="shared" si="5"/>
        <v>654.39888952205615</v>
      </c>
      <c r="G26" s="191">
        <f t="shared" si="6"/>
        <v>0.37381456478852765</v>
      </c>
      <c r="H26" s="207" t="s">
        <v>37</v>
      </c>
      <c r="K26" s="203"/>
      <c r="L26" s="203"/>
    </row>
    <row r="27" spans="2:12" x14ac:dyDescent="0.25">
      <c r="B27" s="137" t="str">
        <f t="shared" si="3"/>
        <v>Street Light</v>
      </c>
      <c r="C27" s="137" t="str">
        <f t="shared" si="3"/>
        <v>Low Voltage Charge</v>
      </c>
      <c r="D27" s="201">
        <f>'8. RTSR Rates to Forecast 2027'!K53</f>
        <v>3.2360444607409363E-3</v>
      </c>
      <c r="E27" s="189">
        <f t="shared" si="4"/>
        <v>17192.679973070422</v>
      </c>
      <c r="F27" s="202">
        <f t="shared" si="5"/>
        <v>43544.269818658286</v>
      </c>
      <c r="G27" s="191">
        <f t="shared" si="6"/>
        <v>0.3948322028287527</v>
      </c>
      <c r="H27" s="207" t="s">
        <v>37</v>
      </c>
      <c r="K27" s="203"/>
      <c r="L27" s="203"/>
    </row>
    <row r="28" spans="2:12" x14ac:dyDescent="0.25">
      <c r="B28" s="137" t="str">
        <f t="shared" si="3"/>
        <v>Total</v>
      </c>
      <c r="C28" s="137"/>
      <c r="D28" s="204">
        <v>0.99999999999999967</v>
      </c>
      <c r="E28" s="209">
        <f>J16*'4. UTRs &amp; Sub-Transmission'!$AA$43</f>
        <v>5312868.8995620059</v>
      </c>
      <c r="F28" s="137"/>
      <c r="G28" s="137"/>
      <c r="H28" s="206"/>
      <c r="K28" s="203"/>
      <c r="L28" s="203"/>
    </row>
    <row r="29" spans="2:12" x14ac:dyDescent="0.25">
      <c r="K29" s="203"/>
    </row>
    <row r="30" spans="2:12" x14ac:dyDescent="0.25">
      <c r="D30" s="192">
        <v>2027</v>
      </c>
      <c r="E30" s="192">
        <v>2028</v>
      </c>
      <c r="F30" s="192">
        <v>2029</v>
      </c>
      <c r="G30" s="192">
        <v>2030</v>
      </c>
      <c r="H30" s="192">
        <v>2031</v>
      </c>
      <c r="K30" s="203"/>
    </row>
    <row r="31" spans="2:12" x14ac:dyDescent="0.25">
      <c r="B31" s="137" t="str">
        <f t="shared" ref="B31:C39" si="7">B19</f>
        <v>Residential</v>
      </c>
      <c r="C31" s="137" t="str">
        <f t="shared" si="7"/>
        <v>Low Voltage Charge</v>
      </c>
      <c r="D31" s="208">
        <f t="shared" ref="D31:D39" si="8">G19</f>
        <v>1.4668233742402548E-3</v>
      </c>
      <c r="E31" s="208">
        <f>D31*'4. UTRs &amp; Sub-Transmission'!$AA$43</f>
        <v>1.5338786699851134E-3</v>
      </c>
      <c r="F31" s="208">
        <f>E31*'4. UTRs &amp; Sub-Transmission'!$AA$43</f>
        <v>1.603999374126371E-3</v>
      </c>
      <c r="G31" s="208">
        <f>F31*'4. UTRs &amp; Sub-Transmission'!$AA$43</f>
        <v>1.6773256206912112E-3</v>
      </c>
      <c r="H31" s="208">
        <f>G31*'4. UTRs &amp; Sub-Transmission'!$AA$43</f>
        <v>1.7540039498827771E-3</v>
      </c>
      <c r="J31" s="210"/>
      <c r="K31" s="211"/>
    </row>
    <row r="32" spans="2:12" x14ac:dyDescent="0.25">
      <c r="B32" s="137" t="str">
        <f t="shared" si="7"/>
        <v>Seasonal Residential</v>
      </c>
      <c r="C32" s="137" t="str">
        <f t="shared" si="7"/>
        <v>Low Voltage Charge</v>
      </c>
      <c r="D32" s="208">
        <f t="shared" si="8"/>
        <v>1.7704576490678505E-3</v>
      </c>
      <c r="E32" s="208">
        <f>D32*'4. UTRs &amp; Sub-Transmission'!$AA$43</f>
        <v>1.8513934749804163E-3</v>
      </c>
      <c r="F32" s="208">
        <f>E32*'4. UTRs &amp; Sub-Transmission'!$AA$43</f>
        <v>1.9360292526651118E-3</v>
      </c>
      <c r="G32" s="208">
        <f>F32*'4. UTRs &amp; Sub-Transmission'!$AA$43</f>
        <v>2.0245341240681856E-3</v>
      </c>
      <c r="H32" s="208">
        <f>G32*'4. UTRs &amp; Sub-Transmission'!$AA$43</f>
        <v>2.1170849633982891E-3</v>
      </c>
      <c r="K32" s="211"/>
    </row>
    <row r="33" spans="2:11" x14ac:dyDescent="0.25">
      <c r="B33" s="137" t="str">
        <f t="shared" si="7"/>
        <v>GS &lt;50</v>
      </c>
      <c r="C33" s="137" t="str">
        <f t="shared" si="7"/>
        <v>Low Voltage Charge</v>
      </c>
      <c r="D33" s="208">
        <f t="shared" si="8"/>
        <v>1.3685688955204041E-3</v>
      </c>
      <c r="E33" s="208">
        <f>D33*'4. UTRs &amp; Sub-Transmission'!$AA$43</f>
        <v>1.4311325235944845E-3</v>
      </c>
      <c r="F33" s="208">
        <f>E33*'4. UTRs &amp; Sub-Transmission'!$AA$43</f>
        <v>1.4965562251150709E-3</v>
      </c>
      <c r="G33" s="208">
        <f>F33*'4. UTRs &amp; Sub-Transmission'!$AA$43</f>
        <v>1.5649707472969784E-3</v>
      </c>
      <c r="H33" s="208">
        <f>G33*'4. UTRs &amp; Sub-Transmission'!$AA$43</f>
        <v>1.6365128144162761E-3</v>
      </c>
      <c r="K33" s="211"/>
    </row>
    <row r="34" spans="2:11" x14ac:dyDescent="0.25">
      <c r="B34" s="137" t="str">
        <f t="shared" si="7"/>
        <v>GS 50 - 2,999 kW</v>
      </c>
      <c r="C34" s="137" t="str">
        <f t="shared" si="7"/>
        <v>Low Voltage Charge</v>
      </c>
      <c r="D34" s="208">
        <f t="shared" si="8"/>
        <v>0.5739273708491055</v>
      </c>
      <c r="E34" s="208">
        <f>D34*'4. UTRs &amp; Sub-Transmission'!$AA$43</f>
        <v>0.60016425135170126</v>
      </c>
      <c r="F34" s="208">
        <f>E34*'4. UTRs &amp; Sub-Transmission'!$AA$43</f>
        <v>0.62760054128042186</v>
      </c>
      <c r="G34" s="208">
        <f>F34*'4. UTRs &amp; Sub-Transmission'!$AA$43</f>
        <v>0.65629107119987418</v>
      </c>
      <c r="H34" s="208">
        <f>G34*'4. UTRs &amp; Sub-Transmission'!$AA$43</f>
        <v>0.68629317823393443</v>
      </c>
      <c r="K34" s="211"/>
    </row>
    <row r="35" spans="2:11" x14ac:dyDescent="0.25">
      <c r="B35" s="137" t="str">
        <f t="shared" si="7"/>
        <v>GS 3,000 - 4,999 kW</v>
      </c>
      <c r="C35" s="137" t="str">
        <f t="shared" si="7"/>
        <v>Low Voltage Charge</v>
      </c>
      <c r="D35" s="208">
        <f t="shared" si="8"/>
        <v>0.40759874932393841</v>
      </c>
      <c r="E35" s="208">
        <f>D35*'4. UTRs &amp; Sub-Transmission'!$AA$43</f>
        <v>0.42623197753746322</v>
      </c>
      <c r="F35" s="208">
        <f>E35*'4. UTRs &amp; Sub-Transmission'!$AA$43</f>
        <v>0.44571701698503419</v>
      </c>
      <c r="G35" s="208">
        <f>F35*'4. UTRs &amp; Sub-Transmission'!$AA$43</f>
        <v>0.46609280790664259</v>
      </c>
      <c r="H35" s="208">
        <f>G35*'4. UTRs &amp; Sub-Transmission'!$AA$43</f>
        <v>0.48740007068115321</v>
      </c>
      <c r="K35" s="211"/>
    </row>
    <row r="36" spans="2:11" x14ac:dyDescent="0.25">
      <c r="B36" s="137" t="str">
        <f t="shared" si="7"/>
        <v>Large Use &gt;5MW</v>
      </c>
      <c r="C36" s="137" t="str">
        <f t="shared" si="7"/>
        <v>Low Voltage Charge</v>
      </c>
      <c r="D36" s="208">
        <f t="shared" si="8"/>
        <v>0.62975936871077021</v>
      </c>
      <c r="E36" s="208">
        <f>D36*'4. UTRs &amp; Sub-Transmission'!$AA$43</f>
        <v>0.65854858863908539</v>
      </c>
      <c r="F36" s="208">
        <f>E36*'4. UTRs &amp; Sub-Transmission'!$AA$43</f>
        <v>0.6886538972597811</v>
      </c>
      <c r="G36" s="208">
        <f>F36*'4. UTRs &amp; Sub-Transmission'!$AA$43</f>
        <v>0.72013545908757925</v>
      </c>
      <c r="H36" s="208">
        <f>G36*'4. UTRs &amp; Sub-Transmission'!$AA$43</f>
        <v>0.7530561890360562</v>
      </c>
      <c r="K36" s="211"/>
    </row>
    <row r="37" spans="2:11" x14ac:dyDescent="0.25">
      <c r="B37" s="137" t="str">
        <f t="shared" si="7"/>
        <v>Unmetered Scattered Load</v>
      </c>
      <c r="C37" s="137" t="str">
        <f t="shared" si="7"/>
        <v>Low Voltage Charge</v>
      </c>
      <c r="D37" s="208">
        <f t="shared" si="8"/>
        <v>1.3844714993997917E-3</v>
      </c>
      <c r="E37" s="208">
        <f>D37*'4. UTRs &amp; Sub-Transmission'!$AA$43</f>
        <v>1.4477621092120778E-3</v>
      </c>
      <c r="F37" s="208">
        <f>E37*'4. UTRs &amp; Sub-Transmission'!$AA$43</f>
        <v>1.5139460261759719E-3</v>
      </c>
      <c r="G37" s="208">
        <f>F37*'4. UTRs &amp; Sub-Transmission'!$AA$43</f>
        <v>1.5831555167730008E-3</v>
      </c>
      <c r="H37" s="208">
        <f>G37*'4. UTRs &amp; Sub-Transmission'!$AA$43</f>
        <v>1.6555288939986694E-3</v>
      </c>
      <c r="K37" s="211"/>
    </row>
    <row r="38" spans="2:11" x14ac:dyDescent="0.25">
      <c r="B38" s="137" t="str">
        <f t="shared" si="7"/>
        <v>Sentinel</v>
      </c>
      <c r="C38" s="137" t="str">
        <f t="shared" si="7"/>
        <v>Low Voltage Charge</v>
      </c>
      <c r="D38" s="208">
        <f t="shared" si="8"/>
        <v>0.37381456478852765</v>
      </c>
      <c r="E38" s="208">
        <f>D38*'4. UTRs &amp; Sub-Transmission'!$AA$43</f>
        <v>0.39090336132383879</v>
      </c>
      <c r="F38" s="208">
        <f>E38*'4. UTRs &amp; Sub-Transmission'!$AA$43</f>
        <v>0.40877336596213137</v>
      </c>
      <c r="G38" s="208">
        <f>F38*'4. UTRs &amp; Sub-Transmission'!$AA$43</f>
        <v>0.42746029134700214</v>
      </c>
      <c r="H38" s="208">
        <f>G38*'4. UTRs &amp; Sub-Transmission'!$AA$43</f>
        <v>0.44700148271252899</v>
      </c>
      <c r="K38" s="211"/>
    </row>
    <row r="39" spans="2:11" x14ac:dyDescent="0.25">
      <c r="B39" s="137" t="str">
        <f t="shared" si="7"/>
        <v>Street Light</v>
      </c>
      <c r="C39" s="137" t="str">
        <f t="shared" si="7"/>
        <v>Low Voltage Charge</v>
      </c>
      <c r="D39" s="208">
        <f t="shared" si="8"/>
        <v>0.3948322028287527</v>
      </c>
      <c r="E39" s="208">
        <f>D39*'4. UTRs &amp; Sub-Transmission'!$AA$43</f>
        <v>0.41288181302397414</v>
      </c>
      <c r="F39" s="208">
        <f>E39*'4. UTRs &amp; Sub-Transmission'!$AA$43</f>
        <v>0.43175655456832401</v>
      </c>
      <c r="G39" s="208">
        <f>F39*'4. UTRs &amp; Sub-Transmission'!$AA$43</f>
        <v>0.45149414804058219</v>
      </c>
      <c r="H39" s="208">
        <f>G39*'4. UTRs &amp; Sub-Transmission'!$AA$43</f>
        <v>0.47213403840203438</v>
      </c>
      <c r="K39" s="211"/>
    </row>
    <row r="40" spans="2:11" x14ac:dyDescent="0.25">
      <c r="F40" s="205"/>
      <c r="G40" s="190"/>
    </row>
    <row r="41" spans="2:11" x14ac:dyDescent="0.25">
      <c r="D41" s="192">
        <v>2027</v>
      </c>
      <c r="E41" s="192">
        <v>2028</v>
      </c>
      <c r="F41" s="192">
        <v>2029</v>
      </c>
      <c r="G41" s="192">
        <v>2030</v>
      </c>
      <c r="H41" s="192">
        <v>2031</v>
      </c>
    </row>
    <row r="42" spans="2:11" x14ac:dyDescent="0.25">
      <c r="B42" s="137" t="str">
        <f>B31</f>
        <v>Residential</v>
      </c>
      <c r="C42" s="207" t="str">
        <f>H19</f>
        <v>kWh</v>
      </c>
      <c r="D42" s="212">
        <f>'3. RRR Data 2027'!$E$17+'3. RRR Data 2027'!$E$40</f>
        <v>1496169039.7505727</v>
      </c>
      <c r="E42" s="212">
        <f>'3. RRR Data 2028'!$E$17+'3. RRR Data 2028'!$E$40</f>
        <v>1522610583.0398455</v>
      </c>
      <c r="F42" s="212">
        <f>'3. RRR Data 2029'!$E$17+'3. RRR Data 2029'!$E$40</f>
        <v>1545953167.9286928</v>
      </c>
      <c r="G42" s="212">
        <f>'3. RRR Data 2030'!$E$17+'3. RRR Data 2030'!$E$40</f>
        <v>1578019605.7929204</v>
      </c>
      <c r="H42" s="212">
        <f>'3. RRR Data 2031'!$E$17+'3. RRR Data 2031'!$E$40</f>
        <v>1611796222.8235793</v>
      </c>
    </row>
    <row r="43" spans="2:11" x14ac:dyDescent="0.25">
      <c r="B43" s="137" t="str">
        <f t="shared" ref="B43:B50" si="9">B32</f>
        <v>Seasonal Residential</v>
      </c>
      <c r="C43" s="207" t="str">
        <f t="shared" ref="C43:C50" si="10">H20</f>
        <v>kWh</v>
      </c>
      <c r="D43" s="212">
        <f>'3. RRR Data 2027'!$E$19</f>
        <v>13136538.197903417</v>
      </c>
      <c r="E43" s="212">
        <f>'3. RRR Data 2028'!$E$19</f>
        <v>13563322.057561571</v>
      </c>
      <c r="F43" s="212">
        <f>'3. RRR Data 2029'!$E$19</f>
        <v>13936133.75580476</v>
      </c>
      <c r="G43" s="212">
        <f>'3. RRR Data 2030'!$E$19</f>
        <v>14392228.762428155</v>
      </c>
      <c r="H43" s="212">
        <f>'3. RRR Data 2031'!$E$19</f>
        <v>14865355.214345908</v>
      </c>
    </row>
    <row r="44" spans="2:11" x14ac:dyDescent="0.25">
      <c r="B44" s="137" t="str">
        <f t="shared" si="9"/>
        <v>GS &lt;50</v>
      </c>
      <c r="C44" s="207" t="str">
        <f t="shared" si="10"/>
        <v>kWh</v>
      </c>
      <c r="D44" s="212">
        <f>'3. RRR Data 2027'!$E$21+'3. RRR Data 2027'!$E$42</f>
        <v>354777489.92210156</v>
      </c>
      <c r="E44" s="212">
        <f>'3. RRR Data 2028'!$E$21+'3. RRR Data 2028'!$E$42</f>
        <v>354832019.47313988</v>
      </c>
      <c r="F44" s="212">
        <f>'3. RRR Data 2029'!$E$21+'3. RRR Data 2029'!$E$42</f>
        <v>354086627.25998735</v>
      </c>
      <c r="G44" s="212">
        <f>'3. RRR Data 2030'!$E$21+'3. RRR Data 2030'!$E$42</f>
        <v>355352505.68427235</v>
      </c>
      <c r="H44" s="212">
        <f>'3. RRR Data 2031'!$E$21+'3. RRR Data 2031'!$E$42</f>
        <v>356378233.98522466</v>
      </c>
    </row>
    <row r="45" spans="2:11" x14ac:dyDescent="0.25">
      <c r="B45" s="137" t="str">
        <f t="shared" si="9"/>
        <v>GS 50 - 2,999 kW</v>
      </c>
      <c r="C45" s="207" t="str">
        <f t="shared" si="10"/>
        <v>kW</v>
      </c>
      <c r="D45" s="212">
        <f>'3. RRR Data 2027'!$F$23+'3. RRR Data 2027'!$F$25+'3. RRR Data 2027'!$F$44+'3. RRR Data 2027'!$F$46</f>
        <v>3256264.8353241687</v>
      </c>
      <c r="E45" s="212">
        <f>'3. RRR Data 2028'!$F$23+'3. RRR Data 2028'!$F$25+'3. RRR Data 2028'!$F$44+'3. RRR Data 2028'!$F$46</f>
        <v>3294405.3377290582</v>
      </c>
      <c r="F45" s="212">
        <f>'3. RRR Data 2029'!$F$23+'3. RRR Data 2029'!$F$25+'3. RRR Data 2029'!$F$44+'3. RRR Data 2029'!$F$46</f>
        <v>3326120.221858311</v>
      </c>
      <c r="G45" s="212">
        <f>'3. RRR Data 2030'!$F$23+'3. RRR Data 2030'!$F$25+'3. RRR Data 2030'!$F$44+'3. RRR Data 2030'!$F$46</f>
        <v>3361193.3913224838</v>
      </c>
      <c r="H45" s="212">
        <f>'3. RRR Data 2031'!$F$23+'3. RRR Data 2031'!$F$25+'3. RRR Data 2031'!$F$44+'3. RRR Data 2031'!$F$46</f>
        <v>3383575.8228533794</v>
      </c>
    </row>
    <row r="46" spans="2:11" x14ac:dyDescent="0.25">
      <c r="B46" s="137" t="str">
        <f t="shared" si="9"/>
        <v>GS 3,000 - 4,999 kW</v>
      </c>
      <c r="C46" s="207" t="str">
        <f t="shared" si="10"/>
        <v>kW</v>
      </c>
      <c r="D46" s="212">
        <f>'3. RRR Data 2027'!$F$27+'3. RRR Data 2027'!$F$29+'3. RRR Data 2027'!$F$48+'3. RRR Data 2027'!$F$50</f>
        <v>604293.44379782502</v>
      </c>
      <c r="E46" s="212">
        <f>'3. RRR Data 2028'!$F$27+'3. RRR Data 2028'!$F$29+'3. RRR Data 2028'!$F$48+'3. RRR Data 2028'!$F$50</f>
        <v>665751.74791153881</v>
      </c>
      <c r="F46" s="212">
        <f>'3. RRR Data 2029'!$F$27+'3. RRR Data 2029'!$F$29+'3. RRR Data 2029'!$F$48+'3. RRR Data 2029'!$F$50</f>
        <v>714879.82735508983</v>
      </c>
      <c r="G46" s="212">
        <f>'3. RRR Data 2030'!$F$27+'3. RRR Data 2030'!$F$29+'3. RRR Data 2030'!$F$48+'3. RRR Data 2030'!$F$50</f>
        <v>744000.60861029197</v>
      </c>
      <c r="H46" s="212">
        <f>'3. RRR Data 2031'!$F$27+'3. RRR Data 2031'!$F$29+'3. RRR Data 2031'!$F$48+'3. RRR Data 2031'!$F$50</f>
        <v>774616.48203383083</v>
      </c>
    </row>
    <row r="47" spans="2:11" x14ac:dyDescent="0.25">
      <c r="B47" s="137" t="str">
        <f t="shared" si="9"/>
        <v>Large Use &gt;5MW</v>
      </c>
      <c r="C47" s="207" t="str">
        <f t="shared" si="10"/>
        <v>kW</v>
      </c>
      <c r="D47" s="212">
        <f>'3. RRR Data 2027'!$F$31</f>
        <v>742951.90772589517</v>
      </c>
      <c r="E47" s="212">
        <f>'3. RRR Data 2028'!$F$31</f>
        <v>895387.42439179809</v>
      </c>
      <c r="F47" s="212">
        <f>'3. RRR Data 2029'!$F$31</f>
        <v>1042834.3281894677</v>
      </c>
      <c r="G47" s="212">
        <f>'3. RRR Data 2030'!$F$31</f>
        <v>1100817.9804563506</v>
      </c>
      <c r="H47" s="212">
        <f>'3. RRR Data 2031'!$F$31</f>
        <v>1121410.8585916488</v>
      </c>
    </row>
    <row r="48" spans="2:11" x14ac:dyDescent="0.25">
      <c r="B48" s="137" t="str">
        <f t="shared" si="9"/>
        <v>Unmetered Scattered Load</v>
      </c>
      <c r="C48" s="207" t="str">
        <f t="shared" si="10"/>
        <v>kWh</v>
      </c>
      <c r="D48" s="212">
        <f>'3. RRR Data 2027'!$E$33+'3. RRR Data 2027'!$E$52</f>
        <v>6479773.9270868488</v>
      </c>
      <c r="E48" s="212">
        <f>'3. RRR Data 2028'!$E$33+'3. RRR Data 2028'!$E$52</f>
        <v>6450483.6168868821</v>
      </c>
      <c r="F48" s="212">
        <f>'3. RRR Data 2029'!$E$33+'3. RRR Data 2029'!$E$52</f>
        <v>6421580.5485769762</v>
      </c>
      <c r="G48" s="212">
        <f>'3. RRR Data 2030'!$E$33+'3. RRR Data 2030'!$E$52</f>
        <v>6393062.1316104801</v>
      </c>
      <c r="H48" s="212">
        <f>'3. RRR Data 2031'!$E$33+'3. RRR Data 2031'!$E$52</f>
        <v>6364925.8013524516</v>
      </c>
    </row>
    <row r="49" spans="2:8" x14ac:dyDescent="0.25">
      <c r="B49" s="137" t="str">
        <f t="shared" si="9"/>
        <v>Sentinel</v>
      </c>
      <c r="C49" s="207" t="str">
        <f t="shared" si="10"/>
        <v>kW</v>
      </c>
      <c r="D49" s="212">
        <f>'3. RRR Data 2027'!$F$35+'3. RRR Data 2027'!$F$54</f>
        <v>654.39888952205615</v>
      </c>
      <c r="E49" s="212">
        <f>'3. RRR Data 2028'!$F$35+'3. RRR Data 2028'!$F$54</f>
        <v>644.51221350638025</v>
      </c>
      <c r="F49" s="212">
        <f>'3. RRR Data 2029'!$F$35+'3. RRR Data 2029'!$F$54</f>
        <v>634.86173214226346</v>
      </c>
      <c r="G49" s="212">
        <f>'3. RRR Data 2030'!$F$35+'3. RRR Data 2030'!$F$54</f>
        <v>625.44345118936644</v>
      </c>
      <c r="H49" s="212">
        <f>'3. RRR Data 2031'!$F$35+'3. RRR Data 2031'!$F$54</f>
        <v>616.25346374616186</v>
      </c>
    </row>
    <row r="50" spans="2:8" x14ac:dyDescent="0.25">
      <c r="B50" s="137" t="str">
        <f t="shared" si="9"/>
        <v>Street Light</v>
      </c>
      <c r="C50" s="207" t="str">
        <f t="shared" si="10"/>
        <v>kW</v>
      </c>
      <c r="D50" s="212">
        <f>'3. RRR Data 2027'!$F$37+'3. RRR Data 2027'!$F$56</f>
        <v>43544.269818658286</v>
      </c>
      <c r="E50" s="212">
        <f>'3. RRR Data 2028'!$F$37+'3. RRR Data 2028'!$F$56</f>
        <v>44090.904046101437</v>
      </c>
      <c r="F50" s="212">
        <f>'3. RRR Data 2029'!$F$37+'3. RRR Data 2029'!$F$56</f>
        <v>44644.724030707992</v>
      </c>
      <c r="G50" s="212">
        <f>'3. RRR Data 2030'!$F$37+'3. RRR Data 2030'!$F$56</f>
        <v>45205.829194696213</v>
      </c>
      <c r="H50" s="212">
        <f>'3. RRR Data 2031'!$F$37+'3. RRR Data 2031'!$F$56</f>
        <v>45774.320408562664</v>
      </c>
    </row>
    <row r="52" spans="2:8" x14ac:dyDescent="0.25">
      <c r="D52" s="192">
        <v>2027</v>
      </c>
      <c r="E52" s="192">
        <v>2028</v>
      </c>
      <c r="F52" s="192">
        <v>2029</v>
      </c>
      <c r="G52" s="192">
        <v>2030</v>
      </c>
      <c r="H52" s="192">
        <v>2031</v>
      </c>
    </row>
    <row r="53" spans="2:8" x14ac:dyDescent="0.25">
      <c r="B53" s="137" t="str">
        <f>B42</f>
        <v>Residential</v>
      </c>
      <c r="C53" s="206" t="s">
        <v>211</v>
      </c>
      <c r="D53" s="189">
        <f t="shared" ref="D53:H61" si="11">D31*D42</f>
        <v>2194615.7193207368</v>
      </c>
      <c r="E53" s="189">
        <f t="shared" si="11"/>
        <v>2335499.8960184162</v>
      </c>
      <c r="F53" s="189">
        <f t="shared" si="11"/>
        <v>2479707.9137863037</v>
      </c>
      <c r="G53" s="189">
        <f t="shared" si="11"/>
        <v>2646852.7147495104</v>
      </c>
      <c r="H53" s="189">
        <f t="shared" si="11"/>
        <v>2827096.941238699</v>
      </c>
    </row>
    <row r="54" spans="2:8" x14ac:dyDescent="0.25">
      <c r="B54" s="137" t="str">
        <f t="shared" ref="B54:B61" si="12">B43</f>
        <v>Seasonal Residential</v>
      </c>
      <c r="C54" s="206" t="s">
        <v>211</v>
      </c>
      <c r="D54" s="189">
        <f t="shared" si="11"/>
        <v>23257.6845347501</v>
      </c>
      <c r="E54" s="189">
        <f t="shared" si="11"/>
        <v>25111.045956427446</v>
      </c>
      <c r="F54" s="189">
        <f t="shared" si="11"/>
        <v>26980.762620291727</v>
      </c>
      <c r="G54" s="189">
        <f t="shared" si="11"/>
        <v>29137.55825093143</v>
      </c>
      <c r="H54" s="189">
        <f t="shared" si="11"/>
        <v>31471.219999866073</v>
      </c>
    </row>
    <row r="55" spans="2:8" x14ac:dyDescent="0.25">
      <c r="B55" s="137" t="str">
        <f t="shared" si="12"/>
        <v>GS &lt;50</v>
      </c>
      <c r="C55" s="206" t="s">
        <v>211</v>
      </c>
      <c r="D55" s="189">
        <f t="shared" si="11"/>
        <v>485537.43753819179</v>
      </c>
      <c r="E55" s="189">
        <f t="shared" si="11"/>
        <v>507811.64348072192</v>
      </c>
      <c r="F55" s="189">
        <f t="shared" si="11"/>
        <v>529910.54625593382</v>
      </c>
      <c r="G55" s="189">
        <f t="shared" si="11"/>
        <v>556116.2763745694</v>
      </c>
      <c r="H55" s="189">
        <f t="shared" si="11"/>
        <v>583217.5466958622</v>
      </c>
    </row>
    <row r="56" spans="2:8" x14ac:dyDescent="0.25">
      <c r="B56" s="137" t="str">
        <f t="shared" si="12"/>
        <v>GS 50 - 2,999 kW</v>
      </c>
      <c r="C56" s="206" t="s">
        <v>211</v>
      </c>
      <c r="D56" s="189">
        <f t="shared" si="11"/>
        <v>1868859.5157259956</v>
      </c>
      <c r="E56" s="189">
        <f t="shared" si="11"/>
        <v>1977184.3131672088</v>
      </c>
      <c r="F56" s="189">
        <f t="shared" si="11"/>
        <v>2087474.8516020328</v>
      </c>
      <c r="G56" s="189">
        <f t="shared" si="11"/>
        <v>2205921.2113009705</v>
      </c>
      <c r="H56" s="189">
        <f t="shared" si="11"/>
        <v>2322125.0052615455</v>
      </c>
    </row>
    <row r="57" spans="2:8" x14ac:dyDescent="0.25">
      <c r="B57" s="137" t="str">
        <f t="shared" si="12"/>
        <v>GS 3,000 - 4,999 kW</v>
      </c>
      <c r="C57" s="206" t="s">
        <v>211</v>
      </c>
      <c r="D57" s="189">
        <f t="shared" si="11"/>
        <v>246309.25191664914</v>
      </c>
      <c r="E57" s="189">
        <f t="shared" si="11"/>
        <v>283764.68406135787</v>
      </c>
      <c r="F57" s="189">
        <f t="shared" si="11"/>
        <v>318634.10415148688</v>
      </c>
      <c r="G57" s="189">
        <f t="shared" si="11"/>
        <v>346773.33275142201</v>
      </c>
      <c r="H57" s="189">
        <f t="shared" si="11"/>
        <v>377548.12809407536</v>
      </c>
    </row>
    <row r="58" spans="2:8" x14ac:dyDescent="0.25">
      <c r="B58" s="137" t="str">
        <f t="shared" si="12"/>
        <v>Large Use &gt;5MW</v>
      </c>
      <c r="C58" s="206" t="s">
        <v>211</v>
      </c>
      <c r="D58" s="189">
        <f t="shared" si="11"/>
        <v>467880.92439192213</v>
      </c>
      <c r="E58" s="189">
        <f t="shared" si="11"/>
        <v>589656.12461840443</v>
      </c>
      <c r="F58" s="189">
        <f t="shared" si="11"/>
        <v>718151.9243039625</v>
      </c>
      <c r="G58" s="189">
        <f t="shared" si="11"/>
        <v>792738.06172779587</v>
      </c>
      <c r="H58" s="189">
        <f t="shared" si="11"/>
        <v>844485.38751467876</v>
      </c>
    </row>
    <row r="59" spans="2:8" x14ac:dyDescent="0.25">
      <c r="B59" s="137" t="str">
        <f t="shared" si="12"/>
        <v>Unmetered Scattered Load</v>
      </c>
      <c r="C59" s="206" t="s">
        <v>211</v>
      </c>
      <c r="D59" s="189">
        <f t="shared" si="11"/>
        <v>8971.0623246056057</v>
      </c>
      <c r="E59" s="189">
        <f t="shared" si="11"/>
        <v>9338.7657666221039</v>
      </c>
      <c r="F59" s="189">
        <f t="shared" si="11"/>
        <v>9721.9263532870318</v>
      </c>
      <c r="G59" s="189">
        <f t="shared" si="11"/>
        <v>10121.211582731692</v>
      </c>
      <c r="H59" s="189">
        <f t="shared" si="11"/>
        <v>10537.318572296619</v>
      </c>
    </row>
    <row r="60" spans="2:8" x14ac:dyDescent="0.25">
      <c r="B60" s="137" t="str">
        <f t="shared" si="12"/>
        <v>Sentinel</v>
      </c>
      <c r="C60" s="206" t="s">
        <v>211</v>
      </c>
      <c r="D60" s="189">
        <f t="shared" si="11"/>
        <v>244.62383608478319</v>
      </c>
      <c r="E60" s="189">
        <f t="shared" si="11"/>
        <v>251.9419906739117</v>
      </c>
      <c r="F60" s="189">
        <f t="shared" si="11"/>
        <v>259.51456716834207</v>
      </c>
      <c r="G60" s="189">
        <f t="shared" si="11"/>
        <v>267.35223986648111</v>
      </c>
      <c r="H60" s="189">
        <f t="shared" si="11"/>
        <v>275.46621202126607</v>
      </c>
    </row>
    <row r="61" spans="2:8" x14ac:dyDescent="0.25">
      <c r="B61" s="137" t="str">
        <f t="shared" si="12"/>
        <v>Street Light</v>
      </c>
      <c r="C61" s="206" t="s">
        <v>211</v>
      </c>
      <c r="D61" s="189">
        <f t="shared" si="11"/>
        <v>17192.679973070422</v>
      </c>
      <c r="E61" s="189">
        <f t="shared" si="11"/>
        <v>18204.332400420437</v>
      </c>
      <c r="F61" s="189">
        <f t="shared" si="11"/>
        <v>19275.652227152143</v>
      </c>
      <c r="G61" s="189">
        <f t="shared" si="11"/>
        <v>20410.167338727446</v>
      </c>
      <c r="H61" s="189">
        <f t="shared" si="11"/>
        <v>21611.614749603352</v>
      </c>
    </row>
    <row r="62" spans="2:8" x14ac:dyDescent="0.25">
      <c r="B62" s="198" t="s">
        <v>3</v>
      </c>
      <c r="C62" s="192" t="s">
        <v>211</v>
      </c>
      <c r="D62" s="209">
        <f>SUM(D53:D61)</f>
        <v>5312868.8995620068</v>
      </c>
      <c r="E62" s="209">
        <f t="shared" ref="E62:H62" si="13">SUM(E53:E61)</f>
        <v>5746822.7474602526</v>
      </c>
      <c r="F62" s="209">
        <f t="shared" si="13"/>
        <v>6190117.1958676195</v>
      </c>
      <c r="G62" s="209">
        <f t="shared" si="13"/>
        <v>6608337.8863165248</v>
      </c>
      <c r="H62" s="209">
        <f t="shared" si="13"/>
        <v>7018368.6283386471</v>
      </c>
    </row>
  </sheetData>
  <mergeCells count="2">
    <mergeCell ref="D5:F5"/>
    <mergeCell ref="G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
        <AccountId xsi:nil="true"/>
        <AccountType/>
      </UserInfo>
    </DRP_x0028_Elexicon_x0029_>
    <Status xmlns="1ebb5cdf-5803-4e55-8f90-2858ffc370dd">Ready to be Filed</Status>
    <Witness xmlns="1ebb5cdf-5803-4e55-8f90-2858ffc370dd">
      <Value>Stephen Vetsis</Value>
    </Witness>
    <MovedtoToIntervenorFolder xmlns="1ebb5cdf-5803-4e55-8f90-2858ffc370dd">false</MovedtoToIntervenorFold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20" ma:contentTypeDescription="Create a new document." ma:contentTypeScope="" ma:versionID="b42dc9c6fe0c11b9cced4537e972f96b">
  <xsd:schema xmlns:xsd="http://www.w3.org/2001/XMLSchema" xmlns:xs="http://www.w3.org/2001/XMLSchema" xmlns:p="http://schemas.microsoft.com/office/2006/metadata/properties" xmlns:ns2="1ebb5cdf-5803-4e55-8f90-2858ffc370dd" targetNamespace="http://schemas.microsoft.com/office/2006/metadata/properties" ma:root="true" ma:fieldsID="93e45b9a295e43cd27049b96bff41f5d"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element ref="ns2:MediaServiceOCR" minOccurs="0"/>
                <xsd:element ref="ns2:MediaServiceLocation" minOccurs="0"/>
                <xsd:element ref="ns2:MediaLengthInSeconds" minOccurs="0"/>
                <xsd:element ref="ns2:MovedtoToIntervenor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ovedtoToIntervenorFolder" ma:index="26" nillable="true" ma:displayName="Moved to &quot;To Intervenor Folder&quot;" ma:default="0" ma:format="Dropdown" ma:internalName="MovedtoToIntervenorFold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0AB553-3B88-43B5-9B67-9E434DD7F604}">
  <ds:schemaRefs>
    <ds:schemaRef ds:uri="http://purl.org/dc/terms/"/>
    <ds:schemaRef ds:uri="1ebb5cdf-5803-4e55-8f90-2858ffc370dd"/>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9B7B1A3-78FC-4EC4-9451-393BCCCCA3FC}">
  <ds:schemaRefs>
    <ds:schemaRef ds:uri="http://schemas.microsoft.com/sharepoint/v3/contenttype/forms"/>
  </ds:schemaRefs>
</ds:datastoreItem>
</file>

<file path=customXml/itemProps3.xml><?xml version="1.0" encoding="utf-8"?>
<ds:datastoreItem xmlns:ds="http://schemas.openxmlformats.org/officeDocument/2006/customXml" ds:itemID="{81F46F10-6CB5-41F7-896F-9EEAF38FAB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1. Info</vt:lpstr>
      <vt:lpstr>2. Table of Contents</vt:lpstr>
      <vt:lpstr>3. RRR Data 2027</vt:lpstr>
      <vt:lpstr>3. RRR Data 2028</vt:lpstr>
      <vt:lpstr>3. RRR Data 2029</vt:lpstr>
      <vt:lpstr>3. RRR Data 2030</vt:lpstr>
      <vt:lpstr>3. RRR Data 2031</vt:lpstr>
      <vt:lpstr>4. UTRs &amp; Sub-Transmission</vt:lpstr>
      <vt:lpstr>7. Forecast Wholesale 2026</vt:lpstr>
      <vt:lpstr>7. Forecast Wholesale 2027</vt:lpstr>
      <vt:lpstr>8. RTSR Rates to Forecast 2027</vt:lpstr>
      <vt:lpstr>7. Forecast Wholesale 2028</vt:lpstr>
      <vt:lpstr>8. RTSR Rates to Forecast 2028</vt:lpstr>
      <vt:lpstr>7. Forecast Wholesale 2029</vt:lpstr>
      <vt:lpstr>8. RTSR Rates to Forecast 2029</vt:lpstr>
      <vt:lpstr>7. Forecast Wholesale 2030</vt:lpstr>
      <vt:lpstr>8. RTSR Rates to Forecast 2030</vt:lpstr>
      <vt:lpstr>7. Forecast Wholesale 2031</vt:lpstr>
      <vt:lpstr>8. RTSR Rates to Forecast 2031</vt:lpstr>
      <vt:lpstr>Forecast RTSRs</vt:lpstr>
      <vt:lpstr>LV Charges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Susan Kim</cp:lastModifiedBy>
  <dcterms:created xsi:type="dcterms:W3CDTF">2025-08-22T17:46:52Z</dcterms:created>
  <dcterms:modified xsi:type="dcterms:W3CDTF">2026-09-18T21:57:56Z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